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<sst xmlns="http://schemas.openxmlformats.org/spreadsheetml/2006/main" count="1402" uniqueCount="1253">
  <si>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</si>
  <si>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</si>
  <si>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</si>
  <si>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</si>
  <si>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</si>
  <si>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</si>
  <si>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</si>
  <si>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</si>
  <si>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</si>
  <si>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</si>
  <si>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</si>
  <si>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</si>
  <si>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</si>
  <si>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</si>
  <si>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</si>
  <si>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</si>
  <si>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</si>
  <si>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</si>
  <si>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</si>
  <si>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</si>
  <si>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</si>
  <si>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</si>
  <si>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</si>
  <si>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</si>
  <si>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</si>
  <si>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</si>
  <si>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</si>
  <si>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</si>
  <si>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</si>
  <si>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</si>
  <si>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</si>
  <si>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</si>
  <si>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</si>
  <si>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</si>
  <si>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</si>
  <si>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</si>
  <si>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</si>
  <si>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</si>
  <si>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</si>
  <si>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</si>
  <si>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</si>
  <si>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</si>
  <si>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</si>
  <si>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</si>
  <si>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</si>
  <si>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</si>
  <si>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</si>
  <si>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</si>
  <si>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</si>
  <si>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</si>
  <si>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</si>
  <si>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</si>
  <si>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</si>
  <si>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</si>
  <si>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</si>
  <si>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</si>
  <si>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</si>
  <si>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</si>
  <si>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</si>
  <si>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</si>
  <si>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</si>
  <si>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</si>
  <si>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</si>
  <si>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</si>
  <si>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</si>
  <si>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</si>
  <si>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</si>
  <si>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</si>
  <si>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</si>
  <si>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</si>
  <si>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</si>
  <si>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</si>
  <si>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</si>
  <si>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</si>
  <si>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</si>
  <si>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</si>
  <si>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</si>
  <si>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</si>
  <si>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</si>
  <si>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</si>
  <si>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</si>
  <si>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</si>
  <si>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</si>
  <si>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</si>
  <si>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</si>
  <si>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</si>
  <si>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</si>
  <si>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</si>
  <si>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</si>
  <si>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</si>
  <si>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</si>
  <si>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</si>
  <si>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</si>
  <si>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</si>
  <si>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</si>
  <si>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</si>
  <si>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</si>
  <si>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</si>
  <si>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</si>
  <si>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</si>
  <si>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</si>
  <si>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</si>
  <si>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</si>
  <si>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</si>
  <si>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</si>
  <si>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</si>
  <si>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</si>
  <si>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</si>
  <si>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</si>
  <si>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</si>
  <si>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</si>
  <si>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</si>
  <si>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</si>
  <si>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</si>
  <si>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</si>
  <si>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</si>
  <si>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</si>
  <si>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</si>
  <si>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</si>
  <si>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</si>
  <si>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</si>
  <si>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</si>
  <si>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</si>
  <si>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</si>
  <si>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</si>
  <si>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</si>
  <si>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</si>
  <si>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</si>
  <si>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</si>
  <si>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</si>
  <si>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</si>
  <si>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</si>
  <si>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</si>
  <si>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</si>
  <si>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</si>
  <si>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</si>
  <si>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</si>
  <si>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</si>
  <si>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</si>
  <si>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</si>
  <si>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</si>
  <si>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</si>
  <si>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</si>
  <si>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</si>
  <si>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</si>
  <si>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</si>
  <si>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</si>
  <si>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</si>
  <si>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</si>
  <si>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</si>
  <si>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</si>
  <si>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</si>
  <si>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</si>
  <si>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</si>
  <si>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</si>
  <si>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</si>
  <si>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</si>
  <si>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</si>
  <si>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</si>
  <si>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</si>
  <si>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</si>
  <si>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</si>
  <si>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</si>
  <si>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</si>
  <si>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</si>
  <si>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</si>
  <si>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</si>
  <si>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</si>
  <si>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</si>
  <si>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</si>
  <si>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</si>
  <si>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</si>
  <si>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</si>
  <si>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</si>
  <si>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</si>
  <si>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</si>
  <si>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</si>
  <si>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</si>
  <si>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</si>
  <si>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</si>
  <si>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</si>
  <si>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</si>
  <si>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</si>
  <si>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</si>
  <si>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</si>
  <si>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</si>
  <si>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</si>
  <si>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</si>
  <si>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</si>
  <si>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</si>
  <si>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</si>
  <si>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</si>
  <si>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</si>
  <si>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</si>
  <si>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</si>
  <si>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</si>
  <si>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</si>
  <si>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</si>
  <si>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</si>
  <si>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</si>
  <si>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</si>
  <si>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</si>
  <si>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</si>
  <si>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</si>
  <si>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</si>
  <si>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</si>
  <si>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</si>
  <si>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</si>
  <si>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</si>
  <si>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</si>
  <si>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</si>
  <si>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</si>
  <si>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</si>
  <si>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</si>
  <si>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</si>
  <si>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</si>
  <si>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</si>
  <si>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</si>
  <si>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</si>
  <si>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</si>
  <si>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</si>
  <si>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</si>
  <si>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</si>
  <si>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</si>
  <si>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</si>
  <si>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</si>
  <si>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</si>
  <si>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</si>
  <si>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</si>
  <si>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</si>
  <si>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</si>
  <si>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</si>
  <si>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</si>
  <si>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</si>
  <si>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</si>
  <si>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</si>
  <si>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</si>
  <si>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</si>
  <si>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</si>
  <si>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</si>
  <si>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</si>
  <si>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</si>
  <si>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</si>
  <si>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</si>
  <si>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</si>
  <si>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</si>
  <si>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</si>
  <si>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</si>
  <si>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</si>
  <si>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</si>
  <si>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</si>
  <si>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</si>
  <si>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</si>
  <si>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</si>
  <si>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</si>
  <si>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</si>
  <si>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</si>
  <si>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</si>
  <si>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</si>
  <si>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</si>
  <si>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</si>
  <si>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</si>
  <si>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</si>
  <si>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</si>
  <si>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</si>
  <si>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</si>
  <si>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</si>
  <si>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</si>
  <si>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</si>
  <si>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</si>
  <si>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</si>
  <si>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</si>
  <si>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</si>
  <si>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</si>
  <si>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</si>
  <si>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</si>
  <si>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</si>
  <si>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</si>
  <si>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</si>
  <si>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</si>
  <si>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</si>
  <si>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</si>
  <si>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</si>
  <si>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</si>
  <si>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</si>
  <si>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</si>
  <si>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</si>
  <si>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</si>
  <si>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</si>
  <si>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</si>
  <si>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</si>
  <si>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</si>
  <si>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</si>
  <si>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</si>
  <si>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</si>
  <si>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</si>
  <si>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</si>
  <si>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</si>
  <si>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</si>
  <si>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</si>
  <si>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</si>
  <si>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</si>
  <si>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</si>
  <si>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</si>
  <si>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</si>
  <si>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</si>
  <si>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</si>
  <si>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</si>
  <si>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</si>
  <si>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</si>
  <si>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</si>
  <si>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</si>
  <si>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</si>
  <si>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</si>
  <si>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</si>
  <si>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</si>
  <si>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</si>
  <si>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</si>
  <si>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</si>
  <si>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</si>
  <si>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</si>
  <si>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</si>
  <si>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</si>
  <si>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</si>
  <si>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</si>
  <si>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</si>
  <si>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</si>
  <si>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</si>
  <si>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</si>
  <si>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</si>
  <si>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</si>
  <si>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</si>
  <si>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</si>
  <si>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</si>
  <si>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</si>
  <si>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</si>
  <si>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</si>
  <si>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</si>
  <si>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</si>
  <si>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</si>
  <si>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</si>
  <si>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</si>
  <si>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</si>
  <si>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</si>
  <si>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</si>
  <si>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</si>
  <si>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</si>
  <si>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</si>
  <si>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</si>
  <si>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</si>
  <si>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</si>
  <si>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</si>
  <si>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</si>
  <si>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</si>
  <si>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</si>
  <si>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</si>
  <si>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</si>
  <si>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</si>
  <si>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</si>
  <si>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</si>
  <si>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</si>
  <si>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</si>
  <si>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</si>
  <si>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</si>
  <si>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</si>
  <si>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</si>
  <si>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</si>
  <si>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</si>
  <si>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</si>
  <si>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</si>
  <si>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</si>
  <si>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</si>
  <si>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</si>
  <si>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</si>
  <si>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</si>
  <si>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</si>
  <si>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</si>
  <si>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</si>
  <si>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</si>
  <si>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</si>
  <si>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</si>
  <si>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</si>
  <si>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</si>
  <si>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</si>
  <si>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</si>
  <si>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</si>
  <si>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</si>
  <si>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</si>
  <si>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</si>
  <si>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</si>
  <si>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</si>
  <si>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</si>
  <si>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</si>
  <si>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</si>
  <si>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</si>
  <si>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</si>
  <si>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</si>
  <si>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</si>
  <si>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</si>
  <si>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</si>
  <si>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</si>
  <si>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</si>
  <si>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</si>
  <si>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</si>
  <si>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</si>
  <si>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</si>
  <si>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</si>
  <si>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</si>
  <si>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</si>
  <si>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</si>
  <si>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</si>
  <si>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</si>
  <si>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</si>
  <si>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</si>
  <si>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</si>
  <si>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</si>
  <si>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</si>
  <si>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</si>
  <si>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</si>
  <si>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</si>
  <si>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</si>
  <si>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</si>
  <si>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</si>
  <si>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</si>
  <si>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</si>
  <si>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</si>
  <si>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</si>
  <si>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</si>
  <si>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</si>
  <si>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</si>
  <si>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</si>
  <si>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</si>
  <si>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</si>
  <si>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</si>
  <si>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</si>
  <si>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</si>
  <si>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</si>
  <si>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</si>
  <si>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</si>
  <si>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</si>
  <si>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</si>
  <si>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</si>
  <si>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</si>
  <si>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</si>
  <si>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</si>
  <si>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</si>
  <si>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</si>
  <si>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</si>
  <si>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</si>
  <si>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</si>
  <si>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</si>
  <si>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</si>
  <si>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</si>
  <si>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</si>
  <si>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</si>
  <si>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</si>
  <si>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</si>
  <si>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</si>
  <si>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</si>
  <si>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</si>
  <si>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</si>
  <si>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</si>
  <si>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</si>
  <si>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</si>
  <si>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</si>
  <si>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</si>
  <si>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</si>
  <si>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</si>
  <si>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</si>
  <si>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</si>
  <si>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</si>
  <si>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</si>
  <si>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</si>
  <si>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</si>
  <si>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</si>
  <si>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</si>
  <si>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</si>
  <si>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</si>
  <si>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</si>
  <si>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</si>
  <si>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</si>
  <si>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</si>
  <si>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</si>
  <si>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</si>
  <si>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</si>
  <si>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</si>
  <si>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</si>
  <si>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</si>
  <si>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</si>
  <si>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</si>
  <si>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</si>
  <si>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</si>
  <si>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</si>
  <si>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</si>
  <si>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</si>
  <si>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</si>
  <si>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</si>
  <si>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</si>
  <si>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</si>
  <si>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</si>
  <si>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</si>
  <si>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</si>
  <si>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</si>
  <si>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</si>
  <si>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</si>
  <si>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</si>
  <si>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</si>
  <si>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</si>
  <si>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</si>
  <si>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</si>
  <si>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</si>
  <si>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</si>
  <si>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</si>
  <si>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</si>
  <si>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</si>
  <si>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</si>
  <si>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</si>
  <si>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</si>
  <si>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</si>
  <si>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</si>
  <si>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</si>
  <si>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</si>
  <si>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</si>
  <si>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</si>
  <si>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</si>
  <si>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</si>
  <si>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</si>
  <si>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</si>
  <si>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</si>
  <si>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</si>
  <si>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</si>
  <si>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</si>
  <si>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</si>
  <si>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</si>
  <si>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</si>
  <si>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</si>
  <si>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</si>
  <si>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</si>
  <si>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</si>
  <si>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</si>
  <si>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</si>
  <si>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</si>
  <si>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</si>
  <si>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</si>
  <si>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</si>
  <si>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</si>
  <si>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</si>
  <si>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</si>
  <si>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</si>
  <si>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</si>
  <si>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</si>
  <si>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</si>
  <si>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</si>
  <si>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</si>
  <si>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</si>
  <si>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</si>
  <si>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</si>
  <si>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</si>
  <si>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</si>
  <si>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</si>
  <si>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</si>
  <si>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</si>
  <si>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</si>
  <si>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</si>
  <si>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</si>
  <si>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</si>
  <si>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</si>
  <si>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</si>
  <si>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</si>
  <si>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</si>
  <si>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</si>
  <si>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</si>
  <si>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</si>
  <si>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</si>
  <si>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</si>
  <si>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</si>
  <si>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</si>
  <si>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</si>
  <si>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</si>
  <si>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</si>
  <si>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</si>
  <si>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</si>
  <si>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</si>
  <si>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</si>
  <si>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</si>
  <si>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</si>
  <si>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</si>
  <si>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</si>
  <si>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</si>
  <si>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</si>
  <si>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</si>
  <si>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</si>
  <si>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</si>
  <si>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</si>
  <si>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</si>
  <si>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</si>
  <si>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</si>
  <si>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</si>
  <si>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</si>
  <si>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</si>
  <si>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</si>
  <si>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</si>
  <si>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</si>
  <si>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</si>
  <si>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</si>
  <si>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</si>
  <si>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</si>
  <si>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</si>
  <si>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</si>
  <si>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</si>
  <si>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</si>
  <si>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</si>
  <si>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</si>
  <si>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</si>
  <si>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</si>
  <si>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</si>
  <si>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</si>
  <si>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</si>
  <si>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</si>
  <si>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</si>
  <si>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</si>
  <si>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</si>
  <si>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</si>
  <si>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</si>
  <si>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</si>
  <si>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</si>
  <si>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</si>
  <si>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</si>
  <si>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</si>
  <si>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</si>
  <si>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</si>
  <si>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</si>
  <si>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</si>
  <si>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</si>
  <si>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</si>
  <si>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</si>
  <si>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</si>
  <si>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</si>
  <si>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</si>
  <si>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</si>
  <si>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</si>
  <si>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</si>
  <si>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</si>
  <si>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</si>
  <si>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</si>
  <si>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</si>
  <si>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</si>
  <si>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</si>
  <si>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</si>
  <si>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</si>
  <si>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</si>
  <si>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</si>
  <si>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</si>
  <si>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</si>
  <si>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</si>
  <si>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</si>
  <si>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</si>
  <si>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</si>
  <si>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</si>
  <si>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</si>
  <si>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</si>
  <si>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</si>
  <si>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</si>
  <si>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</si>
  <si>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</si>
  <si>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</si>
  <si>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</si>
  <si>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</si>
  <si>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</si>
  <si>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</si>
  <si>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</si>
  <si>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</si>
  <si>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</si>
  <si>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</si>
  <si>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</si>
  <si>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</si>
  <si>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</si>
  <si>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</si>
  <si>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</si>
  <si>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</si>
  <si>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</si>
  <si>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</si>
  <si>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</si>
  <si>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</si>
  <si>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</si>
  <si>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</si>
  <si>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</si>
  <si>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</si>
  <si>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</si>
  <si>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</si>
  <si>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</si>
  <si>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</si>
  <si>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</si>
  <si>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</si>
  <si>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</si>
  <si>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</si>
  <si>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</si>
  <si>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</si>
  <si>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</si>
  <si>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</si>
  <si>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</si>
  <si>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</si>
  <si>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</si>
  <si>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</si>
  <si>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</si>
  <si>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</si>
  <si>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</si>
  <si>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</si>
  <si>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</si>
  <si>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</si>
  <si>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</si>
  <si>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</si>
  <si>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</si>
  <si>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</si>
  <si>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</si>
  <si>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</si>
  <si>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</si>
  <si>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</si>
  <si>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</si>
  <si>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</si>
  <si>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</si>
  <si>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</si>
  <si>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</si>
  <si>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</si>
  <si>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</si>
  <si>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</si>
  <si>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</si>
  <si>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</si>
  <si>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</si>
  <si>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</si>
  <si>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</si>
  <si>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</si>
  <si>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</si>
  <si>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</si>
  <si>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</si>
  <si>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</si>
  <si>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</si>
  <si>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</si>
  <si>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</si>
  <si>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</si>
  <si>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</si>
  <si>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</si>
  <si>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</si>
  <si>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</si>
  <si>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</si>
  <si>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</si>
  <si>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</si>
  <si>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</si>
  <si>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</si>
  <si>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</si>
  <si>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</si>
  <si>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</si>
  <si>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</si>
  <si>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</si>
  <si>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</si>
  <si>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</si>
  <si>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</si>
  <si>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</si>
  <si>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</si>
  <si>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</si>
  <si>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</si>
  <si>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</si>
  <si>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</si>
  <si>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</si>
  <si>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</si>
  <si>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</si>
  <si>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</si>
  <si>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</si>
  <si>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</si>
  <si>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</si>
  <si>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</si>
  <si>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</si>
  <si>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</si>
  <si>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</si>
  <si>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</si>
  <si>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</si>
  <si>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</si>
  <si>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</si>
  <si>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</si>
  <si>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</si>
  <si>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</si>
  <si>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</si>
  <si>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</si>
  <si>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</si>
  <si>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</si>
  <si>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</si>
  <si>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</si>
  <si>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</si>
  <si>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</si>
  <si>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</si>
  <si>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</si>
  <si>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</si>
  <si>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</si>
  <si>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</si>
  <si>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</si>
  <si>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</si>
  <si>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</si>
  <si>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</si>
  <si>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</si>
  <si>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</si>
  <si>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</si>
  <si>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</si>
  <si>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</si>
  <si>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</si>
  <si>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</si>
  <si>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</si>
  <si>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</si>
  <si>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</si>
  <si>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</si>
  <si>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</si>
  <si>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</si>
  <si>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</si>
  <si>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</si>
  <si>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</si>
  <si>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</si>
  <si>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</si>
  <si>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</si>
  <si>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</si>
  <si>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</si>
  <si>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</si>
  <si>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</si>
  <si>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</si>
  <si>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</si>
  <si>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</si>
  <si>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</si>
  <si>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</si>
  <si>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</si>
  <si>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</si>
  <si>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</si>
  <si>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</si>
  <si>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</si>
  <si>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</si>
  <si>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</si>
  <si>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</si>
  <si>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</si>
  <si>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</si>
  <si>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</si>
  <si>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</si>
  <si>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</si>
  <si>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</si>
  <si>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</si>
  <si>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</si>
  <si>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</si>
  <si>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</si>
  <si>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</si>
  <si>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</si>
  <si>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</si>
  <si>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</si>
  <si>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</si>
  <si>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</si>
  <si>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</si>
  <si>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</si>
  <si>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</si>
  <si>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</si>
  <si>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</si>
  <si>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</si>
  <si>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</si>
  <si>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</si>
  <si>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</si>
  <si>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</si>
  <si>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</si>
  <si>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</si>
  <si>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</si>
  <si>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</si>
  <si>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</si>
  <si>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</si>
  <si>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</si>
  <si>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</si>
  <si>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</si>
  <si>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</si>
  <si>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</si>
  <si>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</si>
  <si>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</si>
  <si>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</si>
  <si>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</si>
  <si>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</si>
  <si>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</si>
  <si>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</si>
  <si>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</si>
  <si>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</si>
  <si>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</si>
  <si>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</si>
  <si>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</si>
  <si>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</si>
  <si>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</si>
  <si>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</si>
  <si>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</si>
  <si>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</si>
  <si>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</si>
  <si>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</si>
  <si>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</si>
  <si>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</si>
  <si>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</si>
  <si>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</si>
  <si>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</si>
  <si>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</si>
  <si>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</si>
  <si>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</si>
  <si>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</si>
  <si>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</si>
  <si>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</si>
  <si>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</si>
  <si>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</si>
  <si>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</si>
  <si>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</si>
  <si>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</si>
  <si>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</si>
  <si>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</si>
  <si>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</si>
  <si>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</si>
  <si>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</si>
  <si>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</si>
  <si>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</si>
  <si>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</si>
  <si>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</si>
  <si>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</si>
  <si>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</si>
  <si>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</si>
  <si>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</si>
  <si>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</si>
  <si>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</si>
  <si>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</si>
  <si>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</si>
  <si>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</si>
  <si>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</si>
  <si>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</si>
  <si>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</si>
  <si>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</si>
  <si>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</si>
  <si>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</si>
  <si>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</si>
  <si>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</si>
  <si>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</si>
  <si>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</si>
  <si>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</si>
  <si>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</si>
  <si>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</si>
  <si>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</si>
  <si>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</si>
  <si>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</si>
  <si>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</si>
  <si>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</si>
  <si>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</si>
  <si>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</si>
  <si>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</si>
  <si>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</si>
  <si>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</si>
  <si>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</si>
  <si>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</si>
  <si>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</si>
  <si>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</si>
  <si>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</si>
  <si>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</si>
  <si>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</si>
  <si>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</si>
  <si>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</si>
  <si>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</si>
  <si>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</si>
  <si>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</si>
  <si>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</si>
  <si>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</si>
  <si>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</si>
  <si>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</si>
  <si>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</si>
  <si>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</si>
  <si>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</si>
  <si>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</si>
  <si>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</si>
  <si>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</si>
  <si>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</si>
  <si>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</si>
  <si>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</si>
  <si>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</si>
  <si>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</si>
  <si>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</si>
  <si>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</si>
  <si>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</si>
  <si>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</si>
  <si>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</si>
  <si>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</si>
  <si>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</si>
  <si>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</si>
  <si>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</si>
  <si>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</si>
  <si>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</si>
  <si>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</si>
  <si>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</si>
  <si>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</si>
  <si>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</si>
  <si>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</si>
  <si>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</si>
  <si>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</si>
  <si>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</si>
  <si>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</si>
  <si>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</si>
  <si>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</si>
  <si>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</si>
  <si>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</si>
  <si>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</si>
  <si>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</si>
  <si>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</si>
  <si>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</si>
  <si>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</si>
  <si>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</si>
  <si>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</si>
  <si>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</si>
  <si>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</si>
  <si>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</si>
  <si>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</si>
  <si>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</si>
  <si>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</si>
  <si>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</si>
  <si>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</si>
  <si>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</si>
  <si>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</si>
  <si>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</si>
  <si>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</si>
  <si>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</si>
  <si>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</si>
  <si>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</si>
  <si>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</si>
  <si>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</si>
  <si>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</si>
  <si>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</si>
  <si>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</si>
  <si>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</si>
  <si>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</si>
  <si>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</si>
  <si>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</si>
  <si>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</si>
  <si>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</si>
  <si>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</si>
  <si>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</si>
  <si>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</si>
  <si>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</si>
  <si>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</si>
  <si>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</si>
  <si>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</si>
  <si>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</si>
  <si>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</si>
  <si>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</si>
  <si>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</si>
  <si>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</si>
  <si>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</si>
  <si>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</si>
  <si>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</si>
  <si>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</si>
  <si>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</si>
  <si>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</si>
  <si>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</si>
  <si>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</si>
  <si>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</si>
  <si>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</si>
  <si>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</si>
  <si>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</si>
  <si>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</si>
  <si>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</si>
  <si>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</si>
  <si>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</si>
  <si>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</si>
  <si>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</si>
  <si>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</si>
  <si>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</si>
  <si>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</si>
  <si>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</si>
  <si>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</si>
  <si>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</si>
  <si>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</si>
  <si>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</si>
  <si>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</si>
  <si>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</si>
  <si>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</si>
  <si>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</si>
  <si>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</si>
  <si>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</si>
  <si>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</si>
  <si>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</si>
  <si>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</si>
  <si>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</si>
  <si>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</si>
  <si>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</si>
  <si>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</si>
  <si>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</si>
  <si>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</si>
  <si>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</si>
  <si>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</si>
  <si>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</si>
  <si>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</si>
  <si>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</si>
  <si>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</si>
  <si>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</si>
  <si>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</si>
  <si>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</si>
  <si>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</si>
  <si>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</si>
  <si>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</si>
  <si>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</si>
  <si>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</si>
  <si>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</si>
  <si>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</si>
  <si>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</si>
  <si>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</si>
  <si>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</si>
  <si>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</si>
  <si>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</si>
  <si>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</si>
  <si>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</si>
  <si>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</si>
  <si>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</si>
  <si>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</si>
  <si>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</si>
  <si>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</si>
  <si>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</si>
  <si>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</si>
  <si>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</si>
  <si>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</si>
  <si>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</si>
  <si>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</si>
  <si>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</si>
  <si>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</si>
  <si>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</si>
  <si>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</si>
  <si>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</si>
  <si>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</si>
  <si>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</si>
  <si>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</si>
  <si>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</si>
  <si>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</si>
  <si>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</si>
  <si>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</si>
  <si>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</si>
  <si>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</si>
  <si>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</si>
  <si>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</si>
  <si>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</si>
  <si>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</si>
  <si>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</si>
  <si>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</si>
  <si>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</si>
  <si>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</si>
  <si>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</si>
  <si>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</si>
  <si>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</si>
  <si>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</si>
  <si>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</si>
  <si>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</si>
  <si>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</si>
  <si>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</si>
  <si>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</si>
  <si>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</si>
  <si>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</si>
  <si>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</si>
  <si>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</si>
  <si>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</si>
  <si>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</si>
  <si>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</si>
  <si>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</si>
  <si>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</si>
  <si>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</si>
  <si>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</si>
  <si>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</si>
  <si>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</si>
  <si>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</si>
  <si>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</si>
  <si>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</si>
  <si>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</si>
  <si>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</si>
  <si>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</si>
  <si>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</si>
  <si>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</si>
  <si>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</si>
  <si>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</si>
  <si>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</si>
  <si>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</si>
  <si>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</si>
  <si>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</si>
  <si>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</si>
  <si>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</si>
  <si>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</si>
  <si>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</si>
  <si>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</si>
  <si>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</si>
  <si>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</si>
  <si>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</si>
  <si>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</si>
  <si>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</si>
  <si>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</si>
  <si>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</si>
  <si>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</si>
  <si>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</si>
  <si>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</si>
  <si>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</si>
  <si>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</si>
  <si>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</si>
  <si>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</si>
  <si>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</si>
  <si>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</si>
  <si>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</si>
  <si>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</si>
  <si>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</si>
  <si>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</si>
  <si>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</si>
  <si>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</si>
  <si>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</si>
  <si>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</si>
  <si>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</si>
  <si>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</si>
  <si>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</si>
  <si>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</si>
  <si>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</si>
  <si>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</si>
  <si>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</si>
  <si>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</si>
  <si>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</si>
  <si>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</si>
  <si>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</si>
  <si>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</si>
  <si>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</si>
  <si>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</si>
  <si>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</si>
  <si>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</si>
  <si>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</si>
  <si>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</si>
  <si>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</si>
  <si>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</si>
  <si>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</si>
  <si>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</si>
  <si>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</si>
  <si>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</si>
  <si>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</si>
  <si>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</si>
  <si>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</si>
  <si>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</si>
  <si>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</si>
  <si>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</si>
  <si>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</si>
  <si>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</si>
  <si>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</si>
  <si>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</si>
  <si>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</si>
  <si>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</si>
  <si>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</si>
  <si>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</si>
  <si>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</si>
  <si>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</si>
  <si>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</si>
  <si>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</si>
  <si>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</si>
  <si>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</si>
  <si>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</si>
  <si>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</si>
  <si>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3131
3210-2951084,52</t>
  </si>
  <si>
    <t>Профінансовано станом на 30.10.2017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</si>
</sst>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1">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6"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1" width="16.83203125" style="1" hidden="1" customWidth="1"/>
    <col min="22" max="22" width="18.16015625" style="1" hidden="1" customWidth="1"/>
    <col min="23" max="23" width="13.5" style="211" hidden="1" customWidth="1"/>
    <col min="24" max="24" width="21.66015625" style="213" customWidth="1"/>
    <col min="25" max="25" width="21.5" style="213"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20" t="s">
        <v>224</v>
      </c>
      <c r="B2" s="320"/>
      <c r="C2" s="320"/>
      <c r="D2" s="320"/>
      <c r="E2" s="320"/>
      <c r="F2" s="320"/>
      <c r="G2" s="320"/>
      <c r="H2" s="320"/>
      <c r="I2" s="320"/>
      <c r="J2" s="320"/>
      <c r="K2" s="320"/>
      <c r="L2" s="320"/>
      <c r="M2" s="320"/>
      <c r="N2" s="320"/>
      <c r="O2" s="320"/>
      <c r="P2" s="320"/>
      <c r="Q2" s="320"/>
      <c r="R2" s="320"/>
      <c r="S2" s="320"/>
      <c r="T2" s="320"/>
      <c r="U2" s="320"/>
      <c r="V2" s="320"/>
      <c r="W2" s="320"/>
      <c r="X2" s="320"/>
      <c r="Y2" s="320"/>
    </row>
    <row r="3" spans="1:24" ht="18.75">
      <c r="A3" s="215"/>
      <c r="B3" s="215"/>
      <c r="C3" s="214"/>
      <c r="D3" s="214"/>
      <c r="E3" s="110"/>
      <c r="F3" s="111"/>
      <c r="G3" s="112"/>
      <c r="H3" s="111"/>
      <c r="I3" s="218"/>
      <c r="J3" s="113"/>
      <c r="X3" s="216" t="s">
        <v>5</v>
      </c>
    </row>
    <row r="4" spans="1:25" ht="117" customHeight="1">
      <c r="A4" s="166" t="s">
        <v>766</v>
      </c>
      <c r="B4" s="166" t="s">
        <v>767</v>
      </c>
      <c r="C4" s="167" t="s">
        <v>6</v>
      </c>
      <c r="D4" s="167" t="s">
        <v>773</v>
      </c>
      <c r="E4" s="168" t="s">
        <v>774</v>
      </c>
      <c r="F4" s="168" t="s">
        <v>775</v>
      </c>
      <c r="G4" s="168" t="s">
        <v>776</v>
      </c>
      <c r="H4" s="168" t="s">
        <v>413</v>
      </c>
      <c r="I4" s="219" t="s">
        <v>482</v>
      </c>
      <c r="J4" s="169" t="s">
        <v>78</v>
      </c>
      <c r="K4" s="177" t="s">
        <v>183</v>
      </c>
      <c r="L4" s="31" t="s">
        <v>184</v>
      </c>
      <c r="M4" s="31" t="s">
        <v>185</v>
      </c>
      <c r="N4" s="31" t="s">
        <v>186</v>
      </c>
      <c r="O4" s="31" t="s">
        <v>456</v>
      </c>
      <c r="P4" s="31" t="s">
        <v>457</v>
      </c>
      <c r="Q4" s="31" t="s">
        <v>458</v>
      </c>
      <c r="R4" s="31" t="s">
        <v>323</v>
      </c>
      <c r="S4" s="31" t="s">
        <v>324</v>
      </c>
      <c r="T4" s="31" t="s">
        <v>325</v>
      </c>
      <c r="U4" s="31" t="s">
        <v>326</v>
      </c>
      <c r="V4" s="31" t="s">
        <v>327</v>
      </c>
      <c r="W4" s="31" t="s">
        <v>328</v>
      </c>
      <c r="X4" s="79" t="s">
        <v>1252</v>
      </c>
      <c r="Y4" s="79" t="s">
        <v>191</v>
      </c>
    </row>
    <row r="5" spans="1:25" s="5" customFormat="1" ht="42" customHeight="1">
      <c r="A5" s="18" t="s">
        <v>97</v>
      </c>
      <c r="B5" s="18"/>
      <c r="C5" s="19"/>
      <c r="D5" s="20" t="s">
        <v>34</v>
      </c>
      <c r="E5" s="21"/>
      <c r="F5" s="103"/>
      <c r="G5" s="103"/>
      <c r="H5" s="103"/>
      <c r="I5" s="220"/>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5895742.25</v>
      </c>
      <c r="Y5" s="29">
        <f>K5+L5+M5+N5+O5+P5+Q5+R5+S5+T5-X5</f>
        <v>8218241.18</v>
      </c>
    </row>
    <row r="6" spans="1:25" s="5" customFormat="1" ht="46.5" customHeight="1">
      <c r="A6" s="99" t="s">
        <v>893</v>
      </c>
      <c r="B6" s="99"/>
      <c r="C6" s="100"/>
      <c r="D6" s="20" t="s">
        <v>34</v>
      </c>
      <c r="E6" s="21"/>
      <c r="F6" s="103"/>
      <c r="G6" s="103"/>
      <c r="H6" s="103"/>
      <c r="I6" s="220"/>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5895742.25</v>
      </c>
      <c r="Y6" s="29">
        <f aca="true" t="shared" si="2" ref="Y6:Y73">K6+L6+M6+N6+O6+P6+Q6+R6+S6+T6-X6</f>
        <v>8218241.18</v>
      </c>
    </row>
    <row r="7" spans="1:25" s="5" customFormat="1" ht="18.75">
      <c r="A7" s="285" t="s">
        <v>116</v>
      </c>
      <c r="B7" s="285" t="s">
        <v>80</v>
      </c>
      <c r="C7" s="285" t="s">
        <v>79</v>
      </c>
      <c r="D7" s="283"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3062853.44</v>
      </c>
      <c r="Y7" s="29">
        <f t="shared" si="2"/>
        <v>5055824.99</v>
      </c>
    </row>
    <row r="8" spans="1:25" s="5" customFormat="1" ht="37.5" customHeight="1">
      <c r="A8" s="286"/>
      <c r="B8" s="286"/>
      <c r="C8" s="286"/>
      <c r="D8" s="284"/>
      <c r="E8" s="24" t="s">
        <v>905</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9">
        <f t="shared" si="2"/>
        <v>329012</v>
      </c>
    </row>
    <row r="9" spans="1:25" s="5" customFormat="1" ht="81.75" customHeight="1">
      <c r="A9" s="286"/>
      <c r="B9" s="286"/>
      <c r="C9" s="286"/>
      <c r="D9" s="284"/>
      <c r="E9" s="24" t="s">
        <v>906</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86"/>
      <c r="B10" s="286"/>
      <c r="C10" s="286"/>
      <c r="D10" s="284"/>
      <c r="E10" s="24" t="s">
        <v>907</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9">
        <f t="shared" si="2"/>
        <v>0</v>
      </c>
    </row>
    <row r="11" spans="1:25" s="5" customFormat="1" ht="36" hidden="1">
      <c r="A11" s="286"/>
      <c r="B11" s="286"/>
      <c r="C11" s="286"/>
      <c r="D11" s="284"/>
      <c r="E11" s="24" t="s">
        <v>1151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6"/>
      <c r="B12" s="286"/>
      <c r="C12" s="286"/>
      <c r="D12" s="284"/>
      <c r="E12" s="24" t="s">
        <v>1152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86"/>
      <c r="B13" s="286"/>
      <c r="C13" s="286"/>
      <c r="D13" s="284"/>
      <c r="E13" s="24" t="s">
        <v>1115</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9">
        <f t="shared" si="2"/>
        <v>104500</v>
      </c>
    </row>
    <row r="14" spans="1:25" s="5" customFormat="1" ht="62.25" customHeight="1">
      <c r="A14" s="286"/>
      <c r="B14" s="286"/>
      <c r="C14" s="286"/>
      <c r="D14" s="284"/>
      <c r="E14" s="24" t="s">
        <v>487</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9">
        <f t="shared" si="2"/>
        <v>200000</v>
      </c>
    </row>
    <row r="15" spans="1:25" s="5" customFormat="1" ht="37.5">
      <c r="A15" s="286"/>
      <c r="B15" s="286"/>
      <c r="C15" s="286"/>
      <c r="D15" s="284"/>
      <c r="E15" s="24" t="s">
        <v>488</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9">
        <f t="shared" si="2"/>
        <v>0</v>
      </c>
    </row>
    <row r="16" spans="1:25" s="5" customFormat="1" ht="39" customHeight="1">
      <c r="A16" s="286"/>
      <c r="B16" s="286"/>
      <c r="C16" s="286"/>
      <c r="D16" s="284"/>
      <c r="E16" s="24" t="s">
        <v>404</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9">
        <f t="shared" si="2"/>
        <v>25500</v>
      </c>
    </row>
    <row r="17" spans="1:25" s="5" customFormat="1" ht="56.25">
      <c r="A17" s="286"/>
      <c r="B17" s="286"/>
      <c r="C17" s="286"/>
      <c r="D17" s="284"/>
      <c r="E17" s="24" t="s">
        <v>235</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9">
        <f t="shared" si="2"/>
        <v>15921.76000000001</v>
      </c>
    </row>
    <row r="18" spans="1:25" s="5" customFormat="1" ht="93.75">
      <c r="A18" s="286"/>
      <c r="B18" s="286"/>
      <c r="C18" s="286"/>
      <c r="D18" s="284"/>
      <c r="E18" s="24" t="s">
        <v>693</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v>600000</v>
      </c>
      <c r="Y18" s="29">
        <f t="shared" si="2"/>
        <v>1829337</v>
      </c>
    </row>
    <row r="19" spans="1:25" s="5" customFormat="1" ht="83.25" customHeight="1">
      <c r="A19" s="286"/>
      <c r="B19" s="286"/>
      <c r="C19" s="286"/>
      <c r="D19" s="284"/>
      <c r="E19" s="24" t="s">
        <v>1215</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9">
        <f t="shared" si="2"/>
        <v>418970.36</v>
      </c>
    </row>
    <row r="20" spans="1:25" s="5" customFormat="1" ht="79.5" customHeight="1">
      <c r="A20" s="286"/>
      <c r="B20" s="286"/>
      <c r="C20" s="286"/>
      <c r="D20" s="284"/>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9">
        <f t="shared" si="2"/>
        <v>0</v>
      </c>
    </row>
    <row r="21" spans="1:25" s="5" customFormat="1" ht="93.75">
      <c r="A21" s="286"/>
      <c r="B21" s="286"/>
      <c r="C21" s="286"/>
      <c r="D21" s="284"/>
      <c r="E21" s="24" t="s">
        <v>531</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9">
        <f t="shared" si="2"/>
        <v>16455</v>
      </c>
    </row>
    <row r="22" spans="1:25" s="5" customFormat="1" ht="84" customHeight="1">
      <c r="A22" s="286"/>
      <c r="B22" s="286"/>
      <c r="C22" s="286"/>
      <c r="D22" s="284"/>
      <c r="E22" s="24" t="s">
        <v>405</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9"/>
    </row>
    <row r="23" spans="1:25" s="5" customFormat="1" ht="84" customHeight="1">
      <c r="A23" s="286"/>
      <c r="B23" s="286"/>
      <c r="C23" s="286"/>
      <c r="D23" s="284"/>
      <c r="E23" s="276" t="s">
        <v>406</v>
      </c>
      <c r="F23" s="105"/>
      <c r="G23" s="114"/>
      <c r="H23" s="105"/>
      <c r="I23" s="222">
        <v>3132</v>
      </c>
      <c r="J23" s="25">
        <v>53000</v>
      </c>
      <c r="K23" s="183"/>
      <c r="L23" s="183"/>
      <c r="M23" s="183"/>
      <c r="N23" s="183"/>
      <c r="O23" s="183"/>
      <c r="P23" s="183"/>
      <c r="Q23" s="183"/>
      <c r="R23" s="183"/>
      <c r="S23" s="183"/>
      <c r="T23" s="183">
        <v>53000</v>
      </c>
      <c r="U23" s="183"/>
      <c r="V23" s="183"/>
      <c r="W23" s="29"/>
      <c r="X23" s="29"/>
      <c r="Y23" s="29"/>
    </row>
    <row r="24" spans="1:25" s="5" customFormat="1" ht="84" customHeight="1">
      <c r="A24" s="286"/>
      <c r="B24" s="286"/>
      <c r="C24" s="286"/>
      <c r="D24" s="284"/>
      <c r="E24" s="276" t="s">
        <v>407</v>
      </c>
      <c r="F24" s="105"/>
      <c r="G24" s="114"/>
      <c r="H24" s="105"/>
      <c r="I24" s="222">
        <v>3132</v>
      </c>
      <c r="J24" s="25">
        <v>26000</v>
      </c>
      <c r="K24" s="183"/>
      <c r="L24" s="183"/>
      <c r="M24" s="183"/>
      <c r="N24" s="183"/>
      <c r="O24" s="183"/>
      <c r="P24" s="183"/>
      <c r="Q24" s="183"/>
      <c r="R24" s="183"/>
      <c r="S24" s="183"/>
      <c r="T24" s="183">
        <v>26000</v>
      </c>
      <c r="U24" s="183"/>
      <c r="V24" s="183"/>
      <c r="W24" s="29"/>
      <c r="X24" s="29"/>
      <c r="Y24" s="29"/>
    </row>
    <row r="25" spans="1:25" s="5" customFormat="1" ht="75">
      <c r="A25" s="286"/>
      <c r="B25" s="286"/>
      <c r="C25" s="286"/>
      <c r="D25" s="284"/>
      <c r="E25" s="24" t="s">
        <v>748</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9">
        <f t="shared" si="2"/>
        <v>753187.52</v>
      </c>
    </row>
    <row r="26" spans="1:25" s="5" customFormat="1" ht="81" customHeight="1">
      <c r="A26" s="286"/>
      <c r="B26" s="286"/>
      <c r="C26" s="286"/>
      <c r="D26" s="284"/>
      <c r="E26" s="24" t="s">
        <v>432</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9">
        <f t="shared" si="2"/>
        <v>88768.69</v>
      </c>
    </row>
    <row r="27" spans="1:25" s="5" customFormat="1" ht="90.75" customHeight="1" hidden="1">
      <c r="A27" s="286"/>
      <c r="B27" s="286"/>
      <c r="C27" s="286"/>
      <c r="D27" s="284"/>
      <c r="E27" s="24" t="s">
        <v>433</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9">
        <f t="shared" si="2"/>
        <v>0</v>
      </c>
    </row>
    <row r="28" spans="1:25" s="5" customFormat="1" ht="102.75" customHeight="1" hidden="1">
      <c r="A28" s="286"/>
      <c r="B28" s="287"/>
      <c r="C28" s="286"/>
      <c r="D28" s="301"/>
      <c r="E28" s="24" t="s">
        <v>480</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9">
        <f t="shared" si="2"/>
        <v>0</v>
      </c>
    </row>
    <row r="29" spans="1:25" s="5" customFormat="1" ht="18.75">
      <c r="A29" s="286" t="s">
        <v>427</v>
      </c>
      <c r="B29" s="274"/>
      <c r="C29" s="274"/>
      <c r="D29" s="283" t="s">
        <v>200</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9">
        <f t="shared" si="2"/>
        <v>0</v>
      </c>
    </row>
    <row r="30" spans="1:25" s="5" customFormat="1" ht="102.75" customHeight="1">
      <c r="A30" s="287"/>
      <c r="B30" s="273">
        <v>4200</v>
      </c>
      <c r="C30" s="273" t="s">
        <v>428</v>
      </c>
      <c r="D30" s="301"/>
      <c r="E30" s="276" t="s">
        <v>429</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9">
        <f t="shared" si="2"/>
        <v>0</v>
      </c>
    </row>
    <row r="31" spans="1:25" s="5" customFormat="1" ht="18.75">
      <c r="A31" s="285" t="s">
        <v>437</v>
      </c>
      <c r="B31" s="285" t="s">
        <v>1148</v>
      </c>
      <c r="C31" s="285" t="s">
        <v>481</v>
      </c>
      <c r="D31" s="283" t="s">
        <v>903</v>
      </c>
      <c r="E31" s="26"/>
      <c r="F31" s="106"/>
      <c r="G31" s="106"/>
      <c r="H31" s="106"/>
      <c r="I31" s="223"/>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9">
        <f t="shared" si="2"/>
        <v>2747089.7</v>
      </c>
    </row>
    <row r="32" spans="1:25" s="5" customFormat="1" ht="67.5" customHeight="1">
      <c r="A32" s="286"/>
      <c r="B32" s="286"/>
      <c r="C32" s="286"/>
      <c r="D32" s="284"/>
      <c r="E32" s="26" t="s">
        <v>1182</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9">
        <f t="shared" si="2"/>
        <v>791536.4</v>
      </c>
    </row>
    <row r="33" spans="1:25" s="5" customFormat="1" ht="96.75" customHeight="1">
      <c r="A33" s="286"/>
      <c r="B33" s="286"/>
      <c r="C33" s="286"/>
      <c r="D33" s="284"/>
      <c r="E33" s="27" t="s">
        <v>473</v>
      </c>
      <c r="F33" s="105">
        <f>J33</f>
        <v>8584000</v>
      </c>
      <c r="G33" s="114">
        <v>1</v>
      </c>
      <c r="H33" s="105">
        <f t="shared" si="6"/>
        <v>8584000</v>
      </c>
      <c r="I33" s="222">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9">
        <f t="shared" si="2"/>
        <v>1955553.3</v>
      </c>
    </row>
    <row r="34" spans="1:25" s="5" customFormat="1" ht="36" hidden="1">
      <c r="A34" s="286"/>
      <c r="B34" s="286"/>
      <c r="C34" s="286"/>
      <c r="D34" s="284"/>
      <c r="E34" s="27" t="s">
        <v>1183</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9">
        <f t="shared" si="2"/>
        <v>0</v>
      </c>
    </row>
    <row r="35" spans="1:25" s="5" customFormat="1" ht="18.75">
      <c r="A35" s="285" t="s">
        <v>1170</v>
      </c>
      <c r="B35" s="285" t="s">
        <v>1171</v>
      </c>
      <c r="C35" s="285" t="s">
        <v>80</v>
      </c>
      <c r="D35" s="283" t="s">
        <v>1172</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9">
        <f t="shared" si="2"/>
        <v>0</v>
      </c>
    </row>
    <row r="36" spans="1:25" s="5" customFormat="1" ht="93.75">
      <c r="A36" s="286"/>
      <c r="B36" s="286"/>
      <c r="C36" s="286"/>
      <c r="D36" s="284"/>
      <c r="E36" s="28" t="s">
        <v>845</v>
      </c>
      <c r="F36" s="3"/>
      <c r="G36" s="3"/>
      <c r="H36" s="3"/>
      <c r="I36" s="225">
        <v>3220</v>
      </c>
      <c r="J36" s="29">
        <v>19004</v>
      </c>
      <c r="K36" s="29"/>
      <c r="L36" s="29"/>
      <c r="M36" s="29"/>
      <c r="N36" s="29"/>
      <c r="O36" s="29"/>
      <c r="P36" s="29"/>
      <c r="Q36" s="29"/>
      <c r="R36" s="29">
        <v>19004</v>
      </c>
      <c r="S36" s="29"/>
      <c r="T36" s="29"/>
      <c r="U36" s="29"/>
      <c r="V36" s="29"/>
      <c r="W36" s="29">
        <f t="shared" si="4"/>
        <v>0</v>
      </c>
      <c r="X36" s="29">
        <v>19004</v>
      </c>
      <c r="Y36" s="29">
        <f t="shared" si="2"/>
        <v>0</v>
      </c>
    </row>
    <row r="37" spans="1:25" s="5" customFormat="1" ht="82.5" customHeight="1">
      <c r="A37" s="287"/>
      <c r="B37" s="287"/>
      <c r="C37" s="287"/>
      <c r="D37" s="301"/>
      <c r="E37" s="28" t="s">
        <v>595</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9">
        <f t="shared" si="2"/>
        <v>0</v>
      </c>
    </row>
    <row r="38" spans="1:25" s="5" customFormat="1" ht="18.75">
      <c r="A38" s="303" t="s">
        <v>894</v>
      </c>
      <c r="B38" s="285" t="s">
        <v>306</v>
      </c>
      <c r="C38" s="303" t="s">
        <v>81</v>
      </c>
      <c r="D38" s="288"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1632974.5099999998</v>
      </c>
      <c r="Y38" s="29">
        <f t="shared" si="2"/>
        <v>415326.4900000002</v>
      </c>
    </row>
    <row r="39" spans="1:25" s="172" customFormat="1" ht="83.25" customHeight="1">
      <c r="A39" s="304"/>
      <c r="B39" s="286"/>
      <c r="C39" s="304"/>
      <c r="D39" s="289"/>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1632974.5099999998</v>
      </c>
      <c r="Y39" s="29">
        <f t="shared" si="2"/>
        <v>415326.4900000002</v>
      </c>
    </row>
    <row r="40" spans="1:25" s="5" customFormat="1" ht="56.25">
      <c r="A40" s="304"/>
      <c r="B40" s="286"/>
      <c r="C40" s="304"/>
      <c r="D40" s="289"/>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f>
        <v>1632974.5099999998</v>
      </c>
      <c r="Y40" s="29">
        <f t="shared" si="2"/>
        <v>267025.4900000002</v>
      </c>
    </row>
    <row r="41" spans="1:25" s="5" customFormat="1" ht="57.75" customHeight="1">
      <c r="A41" s="305"/>
      <c r="B41" s="287"/>
      <c r="C41" s="305"/>
      <c r="D41" s="290"/>
      <c r="E41" s="28" t="s">
        <v>36</v>
      </c>
      <c r="F41" s="3"/>
      <c r="G41" s="3"/>
      <c r="H41" s="3"/>
      <c r="I41" s="225" t="s">
        <v>171</v>
      </c>
      <c r="J41" s="29">
        <f>226200-77899</f>
        <v>148301</v>
      </c>
      <c r="K41" s="29"/>
      <c r="L41" s="29"/>
      <c r="M41" s="29"/>
      <c r="N41" s="29"/>
      <c r="O41" s="29">
        <v>164200</v>
      </c>
      <c r="P41" s="29"/>
      <c r="Q41" s="29">
        <v>40000</v>
      </c>
      <c r="R41" s="29">
        <v>-77899</v>
      </c>
      <c r="S41" s="29">
        <v>22000</v>
      </c>
      <c r="T41" s="29"/>
      <c r="U41" s="29"/>
      <c r="V41" s="29"/>
      <c r="W41" s="29">
        <f t="shared" si="4"/>
        <v>0</v>
      </c>
      <c r="X41" s="29"/>
      <c r="Y41" s="29">
        <f t="shared" si="2"/>
        <v>148301</v>
      </c>
    </row>
    <row r="42" spans="1:25" s="5" customFormat="1" ht="56.25">
      <c r="A42" s="32" t="s">
        <v>151</v>
      </c>
      <c r="B42" s="32"/>
      <c r="C42" s="32"/>
      <c r="D42" s="33" t="s">
        <v>1169</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9">
        <f t="shared" si="2"/>
        <v>82723.12</v>
      </c>
    </row>
    <row r="43" spans="1:25" s="5" customFormat="1" ht="56.25">
      <c r="A43" s="102" t="s">
        <v>152</v>
      </c>
      <c r="B43" s="102"/>
      <c r="C43" s="102"/>
      <c r="D43" s="33" t="s">
        <v>1169</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9">
        <f t="shared" si="2"/>
        <v>82723.12</v>
      </c>
    </row>
    <row r="44" spans="1:25" s="5" customFormat="1" ht="18" customHeight="1">
      <c r="A44" s="285" t="s">
        <v>153</v>
      </c>
      <c r="B44" s="285" t="s">
        <v>80</v>
      </c>
      <c r="C44" s="285" t="s">
        <v>79</v>
      </c>
      <c r="D44" s="283"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9">
        <f t="shared" si="2"/>
        <v>82723.12</v>
      </c>
    </row>
    <row r="45" spans="1:25" s="5" customFormat="1" ht="56.25">
      <c r="A45" s="286"/>
      <c r="B45" s="286"/>
      <c r="C45" s="286"/>
      <c r="D45" s="284"/>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9">
        <f t="shared" si="2"/>
        <v>60200</v>
      </c>
    </row>
    <row r="46" spans="1:25" s="5" customFormat="1" ht="37.5">
      <c r="A46" s="286"/>
      <c r="B46" s="286"/>
      <c r="C46" s="286"/>
      <c r="D46" s="284"/>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9">
        <f t="shared" si="2"/>
        <v>14283.640000000014</v>
      </c>
    </row>
    <row r="47" spans="1:25" s="5" customFormat="1" ht="81" customHeight="1">
      <c r="A47" s="287"/>
      <c r="B47" s="287"/>
      <c r="C47" s="287"/>
      <c r="D47" s="301"/>
      <c r="E47" s="36" t="s">
        <v>368</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9">
        <f t="shared" si="2"/>
        <v>8239.48000000001</v>
      </c>
    </row>
    <row r="48" spans="1:25" ht="56.25">
      <c r="A48" s="115">
        <v>1000000</v>
      </c>
      <c r="B48" s="37"/>
      <c r="C48" s="37"/>
      <c r="D48" s="20" t="s">
        <v>83</v>
      </c>
      <c r="E48" s="38"/>
      <c r="F48" s="116"/>
      <c r="G48" s="117"/>
      <c r="H48" s="118"/>
      <c r="I48" s="228"/>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27321533.810000002</v>
      </c>
      <c r="V48" s="17">
        <f t="shared" si="15"/>
        <v>39215342.32</v>
      </c>
      <c r="W48" s="17">
        <f t="shared" si="15"/>
        <v>1.2317968867137097E-10</v>
      </c>
      <c r="X48" s="17">
        <f t="shared" si="15"/>
        <v>90181624.41</v>
      </c>
      <c r="Y48" s="29">
        <f t="shared" si="2"/>
        <v>40749000.16</v>
      </c>
    </row>
    <row r="49" spans="1:25" ht="56.25">
      <c r="A49" s="115">
        <v>1010000</v>
      </c>
      <c r="B49" s="37"/>
      <c r="C49" s="37"/>
      <c r="D49" s="20" t="s">
        <v>83</v>
      </c>
      <c r="E49" s="38"/>
      <c r="F49" s="116"/>
      <c r="G49" s="117"/>
      <c r="H49" s="118"/>
      <c r="I49" s="228"/>
      <c r="J49" s="17">
        <f aca="true" t="shared" si="16" ref="J49:Y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27321533.810000002</v>
      </c>
      <c r="V49" s="17">
        <f t="shared" si="16"/>
        <v>39215342.32</v>
      </c>
      <c r="W49" s="17">
        <f t="shared" si="16"/>
        <v>1.2317968867137097E-10</v>
      </c>
      <c r="X49" s="17">
        <f t="shared" si="16"/>
        <v>90181624.41</v>
      </c>
      <c r="Y49" s="29">
        <f t="shared" si="16"/>
        <v>40749000.16</v>
      </c>
    </row>
    <row r="50" spans="1:25" ht="18.75">
      <c r="A50" s="294" t="s">
        <v>117</v>
      </c>
      <c r="B50" s="294" t="s">
        <v>121</v>
      </c>
      <c r="C50" s="294" t="s">
        <v>84</v>
      </c>
      <c r="D50" s="283" t="s">
        <v>895</v>
      </c>
      <c r="E50" s="36"/>
      <c r="F50" s="36"/>
      <c r="G50" s="36"/>
      <c r="H50" s="36"/>
      <c r="I50" s="223"/>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1801108.6</v>
      </c>
      <c r="U50" s="16">
        <f t="shared" si="17"/>
        <v>3155399.08</v>
      </c>
      <c r="V50" s="16">
        <f t="shared" si="17"/>
        <v>4272536.27</v>
      </c>
      <c r="W50" s="16">
        <f>SUM(W51:W132)</f>
        <v>3.8198777474462986E-11</v>
      </c>
      <c r="X50" s="16">
        <f>SUM(X51:X132)</f>
        <v>8314625.65</v>
      </c>
      <c r="Y50" s="29">
        <f t="shared" si="2"/>
        <v>2797705.26</v>
      </c>
    </row>
    <row r="51" spans="1:25" ht="36" hidden="1">
      <c r="A51" s="295"/>
      <c r="B51" s="295"/>
      <c r="C51" s="295"/>
      <c r="D51" s="284"/>
      <c r="E51" s="36" t="s">
        <v>369</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9">
        <f t="shared" si="2"/>
        <v>0</v>
      </c>
    </row>
    <row r="52" spans="1:25" ht="18" hidden="1">
      <c r="A52" s="295"/>
      <c r="B52" s="295"/>
      <c r="C52" s="295"/>
      <c r="D52" s="284"/>
      <c r="E52" s="36" t="s">
        <v>442</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9">
        <f t="shared" si="2"/>
        <v>0</v>
      </c>
    </row>
    <row r="53" spans="1:25" ht="36" hidden="1">
      <c r="A53" s="295"/>
      <c r="B53" s="295"/>
      <c r="C53" s="295"/>
      <c r="D53" s="284"/>
      <c r="E53" s="36" t="s">
        <v>209</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9">
        <f t="shared" si="2"/>
        <v>0</v>
      </c>
    </row>
    <row r="54" spans="1:25" ht="18" hidden="1">
      <c r="A54" s="295"/>
      <c r="B54" s="295"/>
      <c r="C54" s="295"/>
      <c r="D54" s="284"/>
      <c r="E54" s="36" t="s">
        <v>210</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9">
        <f t="shared" si="2"/>
        <v>0</v>
      </c>
    </row>
    <row r="55" spans="1:25" ht="20.25" customHeight="1" hidden="1">
      <c r="A55" s="295"/>
      <c r="B55" s="295"/>
      <c r="C55" s="295"/>
      <c r="D55" s="284"/>
      <c r="E55" s="36" t="s">
        <v>212</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9">
        <f t="shared" si="2"/>
        <v>0</v>
      </c>
    </row>
    <row r="56" spans="1:25" ht="36" hidden="1">
      <c r="A56" s="295"/>
      <c r="B56" s="295"/>
      <c r="C56" s="295"/>
      <c r="D56" s="284"/>
      <c r="E56" s="36" t="s">
        <v>213</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9">
        <f t="shared" si="2"/>
        <v>0</v>
      </c>
    </row>
    <row r="57" spans="1:25" ht="37.5">
      <c r="A57" s="295"/>
      <c r="B57" s="295"/>
      <c r="C57" s="295"/>
      <c r="D57" s="284"/>
      <c r="E57" s="36" t="s">
        <v>214</v>
      </c>
      <c r="F57" s="36"/>
      <c r="G57" s="36"/>
      <c r="H57" s="36"/>
      <c r="I57" s="223">
        <v>3110</v>
      </c>
      <c r="J57" s="40">
        <v>20000</v>
      </c>
      <c r="K57" s="29"/>
      <c r="L57" s="29"/>
      <c r="M57" s="29"/>
      <c r="N57" s="29"/>
      <c r="O57" s="29"/>
      <c r="P57" s="29"/>
      <c r="Q57" s="29"/>
      <c r="R57" s="29"/>
      <c r="S57" s="40">
        <v>20000</v>
      </c>
      <c r="T57" s="29"/>
      <c r="U57" s="29"/>
      <c r="V57" s="29"/>
      <c r="W57" s="29">
        <f t="shared" si="4"/>
        <v>0</v>
      </c>
      <c r="X57" s="29"/>
      <c r="Y57" s="29">
        <f t="shared" si="2"/>
        <v>20000</v>
      </c>
    </row>
    <row r="58" spans="1:25" ht="37.5">
      <c r="A58" s="295"/>
      <c r="B58" s="295"/>
      <c r="C58" s="295"/>
      <c r="D58" s="284"/>
      <c r="E58" s="36" t="s">
        <v>1135</v>
      </c>
      <c r="F58" s="36"/>
      <c r="G58" s="36"/>
      <c r="H58" s="36"/>
      <c r="I58" s="223">
        <v>3110</v>
      </c>
      <c r="J58" s="40">
        <v>15000</v>
      </c>
      <c r="K58" s="29"/>
      <c r="L58" s="29"/>
      <c r="M58" s="29"/>
      <c r="N58" s="29"/>
      <c r="O58" s="29"/>
      <c r="P58" s="29"/>
      <c r="Q58" s="29"/>
      <c r="R58" s="29"/>
      <c r="S58" s="40">
        <v>15000</v>
      </c>
      <c r="T58" s="29"/>
      <c r="U58" s="29"/>
      <c r="V58" s="29"/>
      <c r="W58" s="29">
        <f t="shared" si="4"/>
        <v>0</v>
      </c>
      <c r="X58" s="29"/>
      <c r="Y58" s="29">
        <f t="shared" si="2"/>
        <v>15000</v>
      </c>
    </row>
    <row r="59" spans="1:25" ht="75">
      <c r="A59" s="295"/>
      <c r="B59" s="295"/>
      <c r="C59" s="295"/>
      <c r="D59" s="284"/>
      <c r="E59" s="36" t="s">
        <v>215</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9">
        <f t="shared" si="2"/>
        <v>0</v>
      </c>
    </row>
    <row r="60" spans="1:25" ht="37.5">
      <c r="A60" s="295"/>
      <c r="B60" s="295"/>
      <c r="C60" s="295"/>
      <c r="D60" s="284"/>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9">
        <f t="shared" si="2"/>
        <v>0</v>
      </c>
    </row>
    <row r="61" spans="1:25" ht="119.25" customHeight="1" hidden="1">
      <c r="A61" s="295"/>
      <c r="B61" s="295"/>
      <c r="C61" s="295"/>
      <c r="D61" s="284"/>
      <c r="E61" s="36" t="s">
        <v>968</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9">
        <f t="shared" si="2"/>
        <v>0</v>
      </c>
    </row>
    <row r="62" spans="1:25" ht="72" hidden="1">
      <c r="A62" s="295"/>
      <c r="B62" s="295"/>
      <c r="C62" s="295"/>
      <c r="D62" s="284"/>
      <c r="E62" s="36" t="s">
        <v>415</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9">
        <f t="shared" si="2"/>
        <v>0</v>
      </c>
    </row>
    <row r="63" spans="1:25" ht="94.5" customHeight="1" hidden="1">
      <c r="A63" s="295"/>
      <c r="B63" s="295"/>
      <c r="C63" s="295"/>
      <c r="D63" s="284"/>
      <c r="E63" s="36" t="s">
        <v>1136</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9">
        <f t="shared" si="2"/>
        <v>0</v>
      </c>
    </row>
    <row r="64" spans="1:25" ht="54" hidden="1">
      <c r="A64" s="295"/>
      <c r="B64" s="295"/>
      <c r="C64" s="295"/>
      <c r="D64" s="284"/>
      <c r="E64" s="36" t="s">
        <v>526</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9">
        <f t="shared" si="2"/>
        <v>0</v>
      </c>
    </row>
    <row r="65" spans="1:25" ht="37.5">
      <c r="A65" s="295"/>
      <c r="B65" s="295"/>
      <c r="C65" s="295"/>
      <c r="D65" s="284"/>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9">
        <f t="shared" si="2"/>
        <v>0</v>
      </c>
    </row>
    <row r="66" spans="1:25" ht="37.5">
      <c r="A66" s="295"/>
      <c r="B66" s="295"/>
      <c r="C66" s="295"/>
      <c r="D66" s="284"/>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9">
        <f t="shared" si="2"/>
        <v>0</v>
      </c>
    </row>
    <row r="67" spans="1:25" ht="93.75">
      <c r="A67" s="295"/>
      <c r="B67" s="295"/>
      <c r="C67" s="295"/>
      <c r="D67" s="284"/>
      <c r="E67" s="36" t="s">
        <v>363</v>
      </c>
      <c r="F67" s="36"/>
      <c r="G67" s="36"/>
      <c r="H67" s="36"/>
      <c r="I67" s="223">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9">
        <f t="shared" si="2"/>
        <v>0</v>
      </c>
    </row>
    <row r="68" spans="1:25" ht="22.5" customHeight="1">
      <c r="A68" s="295"/>
      <c r="B68" s="295"/>
      <c r="C68" s="295"/>
      <c r="D68" s="284"/>
      <c r="E68" s="36" t="s">
        <v>356</v>
      </c>
      <c r="F68" s="105">
        <f>J68</f>
        <v>700000</v>
      </c>
      <c r="G68" s="114">
        <v>1</v>
      </c>
      <c r="H68" s="105">
        <f aca="true" t="shared" si="18" ref="H68:H132">J68</f>
        <v>700000</v>
      </c>
      <c r="I68" s="222">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9">
        <f t="shared" si="2"/>
        <v>1929.8499999999767</v>
      </c>
    </row>
    <row r="69" spans="1:25" ht="37.5">
      <c r="A69" s="295"/>
      <c r="B69" s="295"/>
      <c r="C69" s="295"/>
      <c r="D69" s="284"/>
      <c r="E69" s="36" t="s">
        <v>357</v>
      </c>
      <c r="F69" s="105">
        <f aca="true" t="shared" si="19" ref="F69:F132">J69</f>
        <v>300000</v>
      </c>
      <c r="G69" s="114">
        <v>1</v>
      </c>
      <c r="H69" s="105">
        <f t="shared" si="18"/>
        <v>300000</v>
      </c>
      <c r="I69" s="222">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9">
        <f t="shared" si="2"/>
        <v>2301.5999999999767</v>
      </c>
    </row>
    <row r="70" spans="1:25" ht="36" customHeight="1" hidden="1">
      <c r="A70" s="295"/>
      <c r="B70" s="295"/>
      <c r="C70" s="295"/>
      <c r="D70" s="284"/>
      <c r="E70" s="36" t="s">
        <v>35</v>
      </c>
      <c r="F70" s="105">
        <f t="shared" si="19"/>
        <v>0</v>
      </c>
      <c r="G70" s="114">
        <v>1</v>
      </c>
      <c r="H70" s="105">
        <f t="shared" si="18"/>
        <v>0</v>
      </c>
      <c r="I70" s="222">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9">
        <f t="shared" si="2"/>
        <v>0</v>
      </c>
    </row>
    <row r="71" spans="1:25" ht="37.5">
      <c r="A71" s="295"/>
      <c r="B71" s="295"/>
      <c r="C71" s="295"/>
      <c r="D71" s="284"/>
      <c r="E71" s="36" t="s">
        <v>174</v>
      </c>
      <c r="F71" s="105">
        <f t="shared" si="19"/>
        <v>700000</v>
      </c>
      <c r="G71" s="114">
        <v>1</v>
      </c>
      <c r="H71" s="105">
        <f t="shared" si="18"/>
        <v>700000</v>
      </c>
      <c r="I71" s="222">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f>
        <v>340217</v>
      </c>
      <c r="Y71" s="29">
        <f t="shared" si="2"/>
        <v>4783</v>
      </c>
    </row>
    <row r="72" spans="1:25" ht="37.5">
      <c r="A72" s="295"/>
      <c r="B72" s="295"/>
      <c r="C72" s="295"/>
      <c r="D72" s="284"/>
      <c r="E72" s="36" t="s">
        <v>516</v>
      </c>
      <c r="F72" s="105">
        <f t="shared" si="19"/>
        <v>300000</v>
      </c>
      <c r="G72" s="114">
        <v>1</v>
      </c>
      <c r="H72" s="105">
        <f t="shared" si="18"/>
        <v>300000</v>
      </c>
      <c r="I72" s="222">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9">
        <f t="shared" si="2"/>
        <v>2498.4000000000233</v>
      </c>
    </row>
    <row r="73" spans="1:25" ht="36" hidden="1">
      <c r="A73" s="295"/>
      <c r="B73" s="295"/>
      <c r="C73" s="295"/>
      <c r="D73" s="284"/>
      <c r="E73" s="36" t="s">
        <v>517</v>
      </c>
      <c r="F73" s="105">
        <f t="shared" si="19"/>
        <v>0</v>
      </c>
      <c r="G73" s="114">
        <v>1</v>
      </c>
      <c r="H73" s="105">
        <f t="shared" si="18"/>
        <v>0</v>
      </c>
      <c r="I73" s="222">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9">
        <f t="shared" si="2"/>
        <v>0</v>
      </c>
    </row>
    <row r="74" spans="1:25" ht="75">
      <c r="A74" s="295"/>
      <c r="B74" s="295"/>
      <c r="C74" s="295"/>
      <c r="D74" s="284"/>
      <c r="E74" s="36" t="s">
        <v>518</v>
      </c>
      <c r="F74" s="105">
        <f t="shared" si="19"/>
        <v>15000</v>
      </c>
      <c r="G74" s="114">
        <v>1</v>
      </c>
      <c r="H74" s="105">
        <f t="shared" si="18"/>
        <v>15000</v>
      </c>
      <c r="I74" s="222">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9">
        <f aca="true" t="shared" si="20" ref="Y74:Y144">K74+L74+M74+N74+O74+P74+Q74+R74+S74+T74-X74</f>
        <v>359.09000000000015</v>
      </c>
    </row>
    <row r="75" spans="1:25" ht="37.5">
      <c r="A75" s="295"/>
      <c r="B75" s="295"/>
      <c r="C75" s="295"/>
      <c r="D75" s="284"/>
      <c r="E75" s="36" t="s">
        <v>791</v>
      </c>
      <c r="F75" s="105"/>
      <c r="G75" s="114"/>
      <c r="H75" s="105"/>
      <c r="I75" s="222">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9">
        <f t="shared" si="20"/>
        <v>781.3699999999953</v>
      </c>
    </row>
    <row r="76" spans="1:25" ht="37.5">
      <c r="A76" s="295"/>
      <c r="B76" s="295"/>
      <c r="C76" s="295"/>
      <c r="D76" s="284"/>
      <c r="E76" s="36" t="s">
        <v>150</v>
      </c>
      <c r="F76" s="105">
        <f t="shared" si="19"/>
        <v>285000</v>
      </c>
      <c r="G76" s="114">
        <v>1</v>
      </c>
      <c r="H76" s="105">
        <f t="shared" si="18"/>
        <v>285000</v>
      </c>
      <c r="I76" s="222">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9">
        <f t="shared" si="20"/>
        <v>19186.79999999999</v>
      </c>
    </row>
    <row r="77" spans="1:25" ht="56.25">
      <c r="A77" s="295"/>
      <c r="B77" s="295"/>
      <c r="C77" s="295"/>
      <c r="D77" s="284"/>
      <c r="E77" s="36" t="s">
        <v>1184</v>
      </c>
      <c r="F77" s="105">
        <f t="shared" si="19"/>
        <v>100000</v>
      </c>
      <c r="G77" s="114">
        <v>1</v>
      </c>
      <c r="H77" s="105">
        <f t="shared" si="18"/>
        <v>100000</v>
      </c>
      <c r="I77" s="222">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46066.8+1125.6</f>
        <v>47192.4</v>
      </c>
      <c r="Y77" s="29">
        <f t="shared" si="20"/>
        <v>7807.5999999999985</v>
      </c>
    </row>
    <row r="78" spans="1:25" ht="31.5" customHeight="1">
      <c r="A78" s="295"/>
      <c r="B78" s="295"/>
      <c r="C78" s="295"/>
      <c r="D78" s="284"/>
      <c r="E78" s="36" t="s">
        <v>988</v>
      </c>
      <c r="F78" s="105"/>
      <c r="G78" s="114"/>
      <c r="H78" s="105"/>
      <c r="I78" s="222">
        <v>3132</v>
      </c>
      <c r="J78" s="40">
        <v>200000</v>
      </c>
      <c r="K78" s="29"/>
      <c r="L78" s="29"/>
      <c r="M78" s="29"/>
      <c r="N78" s="29"/>
      <c r="O78" s="29"/>
      <c r="P78" s="29"/>
      <c r="Q78" s="29"/>
      <c r="R78" s="29"/>
      <c r="S78" s="29"/>
      <c r="T78" s="29"/>
      <c r="U78" s="29"/>
      <c r="V78" s="29">
        <v>200000</v>
      </c>
      <c r="W78" s="29">
        <f t="shared" si="4"/>
        <v>0</v>
      </c>
      <c r="X78" s="29"/>
      <c r="Y78" s="29">
        <f t="shared" si="20"/>
        <v>0</v>
      </c>
    </row>
    <row r="79" spans="1:25" ht="37.5">
      <c r="A79" s="295"/>
      <c r="B79" s="295"/>
      <c r="C79" s="295"/>
      <c r="D79" s="284"/>
      <c r="E79" s="36" t="s">
        <v>1185</v>
      </c>
      <c r="F79" s="105">
        <f t="shared" si="19"/>
        <v>179400</v>
      </c>
      <c r="G79" s="114">
        <v>1</v>
      </c>
      <c r="H79" s="105">
        <f t="shared" si="18"/>
        <v>179400</v>
      </c>
      <c r="I79" s="222">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9">
        <f t="shared" si="20"/>
        <v>12327</v>
      </c>
    </row>
    <row r="80" spans="1:25" ht="36" hidden="1">
      <c r="A80" s="295"/>
      <c r="B80" s="295"/>
      <c r="C80" s="295"/>
      <c r="D80" s="284"/>
      <c r="E80" s="36" t="s">
        <v>1186</v>
      </c>
      <c r="F80" s="105">
        <f t="shared" si="19"/>
        <v>0</v>
      </c>
      <c r="G80" s="114">
        <v>1</v>
      </c>
      <c r="H80" s="105">
        <f t="shared" si="18"/>
        <v>0</v>
      </c>
      <c r="I80" s="222">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9">
        <f t="shared" si="20"/>
        <v>0</v>
      </c>
    </row>
    <row r="81" spans="1:25" ht="54" hidden="1">
      <c r="A81" s="295"/>
      <c r="B81" s="295"/>
      <c r="C81" s="295"/>
      <c r="D81" s="284"/>
      <c r="E81" s="36" t="s">
        <v>1218</v>
      </c>
      <c r="F81" s="105">
        <f t="shared" si="19"/>
        <v>0</v>
      </c>
      <c r="G81" s="114">
        <v>1</v>
      </c>
      <c r="H81" s="105">
        <f t="shared" si="18"/>
        <v>0</v>
      </c>
      <c r="I81" s="222">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9">
        <f t="shared" si="20"/>
        <v>0</v>
      </c>
    </row>
    <row r="82" spans="1:25" ht="75">
      <c r="A82" s="295"/>
      <c r="B82" s="295"/>
      <c r="C82" s="295"/>
      <c r="D82" s="284"/>
      <c r="E82" s="36" t="s">
        <v>90</v>
      </c>
      <c r="F82" s="105"/>
      <c r="G82" s="114"/>
      <c r="H82" s="105"/>
      <c r="I82" s="222">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170000+4471.2+75236+5945.92</f>
        <v>255653.12000000002</v>
      </c>
      <c r="Y82" s="29">
        <f t="shared" si="20"/>
        <v>244346.87999999998</v>
      </c>
    </row>
    <row r="83" spans="1:25" ht="37.5">
      <c r="A83" s="295"/>
      <c r="B83" s="295"/>
      <c r="C83" s="295"/>
      <c r="D83" s="284"/>
      <c r="E83" s="36" t="s">
        <v>1219</v>
      </c>
      <c r="F83" s="105">
        <f t="shared" si="19"/>
        <v>1155000</v>
      </c>
      <c r="G83" s="114">
        <v>1</v>
      </c>
      <c r="H83" s="105">
        <f t="shared" si="18"/>
        <v>1155000</v>
      </c>
      <c r="I83" s="222">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f>
        <v>74000</v>
      </c>
      <c r="V83" s="29">
        <v>400000</v>
      </c>
      <c r="W83" s="29">
        <f t="shared" si="21"/>
        <v>0</v>
      </c>
      <c r="X83" s="29">
        <f>12227.1+63402.9+481064</f>
        <v>556694</v>
      </c>
      <c r="Y83" s="29">
        <f t="shared" si="20"/>
        <v>124306</v>
      </c>
    </row>
    <row r="84" spans="1:25" ht="56.25">
      <c r="A84" s="295"/>
      <c r="B84" s="295"/>
      <c r="C84" s="295"/>
      <c r="D84" s="284"/>
      <c r="E84" s="36" t="s">
        <v>1220</v>
      </c>
      <c r="F84" s="105">
        <f t="shared" si="19"/>
        <v>450000</v>
      </c>
      <c r="G84" s="114">
        <v>1</v>
      </c>
      <c r="H84" s="105">
        <f t="shared" si="18"/>
        <v>450000</v>
      </c>
      <c r="I84" s="222">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9">
        <f t="shared" si="20"/>
        <v>96107</v>
      </c>
    </row>
    <row r="85" spans="1:25" ht="40.5" customHeight="1">
      <c r="A85" s="295"/>
      <c r="B85" s="295"/>
      <c r="C85" s="295"/>
      <c r="D85" s="284"/>
      <c r="E85" s="36" t="s">
        <v>1221</v>
      </c>
      <c r="F85" s="105">
        <f t="shared" si="19"/>
        <v>14800</v>
      </c>
      <c r="G85" s="114">
        <v>1</v>
      </c>
      <c r="H85" s="105">
        <f t="shared" si="18"/>
        <v>14800</v>
      </c>
      <c r="I85" s="222">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9">
        <f t="shared" si="20"/>
        <v>800</v>
      </c>
    </row>
    <row r="86" spans="1:25" ht="40.5" customHeight="1">
      <c r="A86" s="295"/>
      <c r="B86" s="295"/>
      <c r="C86" s="295"/>
      <c r="D86" s="284"/>
      <c r="E86" s="36" t="s">
        <v>498</v>
      </c>
      <c r="F86" s="105">
        <f t="shared" si="19"/>
        <v>192429</v>
      </c>
      <c r="G86" s="114"/>
      <c r="H86" s="105">
        <f t="shared" si="18"/>
        <v>192429</v>
      </c>
      <c r="I86" s="222">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9">
        <f t="shared" si="20"/>
        <v>87497.2</v>
      </c>
    </row>
    <row r="87" spans="1:25" ht="37.5">
      <c r="A87" s="295"/>
      <c r="B87" s="295"/>
      <c r="C87" s="295"/>
      <c r="D87" s="284"/>
      <c r="E87" s="36" t="s">
        <v>1222</v>
      </c>
      <c r="F87" s="105">
        <f t="shared" si="19"/>
        <v>35900</v>
      </c>
      <c r="G87" s="114">
        <v>1</v>
      </c>
      <c r="H87" s="105">
        <f t="shared" si="18"/>
        <v>35900</v>
      </c>
      <c r="I87" s="222">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9">
        <f t="shared" si="20"/>
        <v>1524.800000000003</v>
      </c>
    </row>
    <row r="88" spans="1:25" ht="42" customHeight="1">
      <c r="A88" s="295"/>
      <c r="B88" s="295"/>
      <c r="C88" s="295"/>
      <c r="D88" s="284"/>
      <c r="E88" s="36" t="s">
        <v>1223</v>
      </c>
      <c r="F88" s="105">
        <f t="shared" si="19"/>
        <v>400000</v>
      </c>
      <c r="G88" s="114">
        <v>1</v>
      </c>
      <c r="H88" s="105">
        <f t="shared" si="18"/>
        <v>400000</v>
      </c>
      <c r="I88" s="222">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f>
        <v>199011.82</v>
      </c>
      <c r="Y88" s="29">
        <f t="shared" si="20"/>
        <v>61988.17999999999</v>
      </c>
    </row>
    <row r="89" spans="1:25" ht="56.25">
      <c r="A89" s="295"/>
      <c r="B89" s="295"/>
      <c r="C89" s="295"/>
      <c r="D89" s="284"/>
      <c r="E89" s="36" t="s">
        <v>1224</v>
      </c>
      <c r="F89" s="105">
        <f t="shared" si="19"/>
        <v>400000</v>
      </c>
      <c r="G89" s="114">
        <v>1</v>
      </c>
      <c r="H89" s="105">
        <f t="shared" si="18"/>
        <v>400000</v>
      </c>
      <c r="I89" s="222">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f>
        <v>391705</v>
      </c>
      <c r="Y89" s="29">
        <f t="shared" si="20"/>
        <v>4295</v>
      </c>
    </row>
    <row r="90" spans="1:25" ht="37.5">
      <c r="A90" s="295"/>
      <c r="B90" s="295"/>
      <c r="C90" s="295"/>
      <c r="D90" s="284"/>
      <c r="E90" s="36" t="s">
        <v>1225</v>
      </c>
      <c r="F90" s="105">
        <f t="shared" si="19"/>
        <v>20600</v>
      </c>
      <c r="G90" s="114">
        <v>1</v>
      </c>
      <c r="H90" s="105">
        <f t="shared" si="18"/>
        <v>20600</v>
      </c>
      <c r="I90" s="222">
        <v>3132</v>
      </c>
      <c r="J90" s="40">
        <v>20600</v>
      </c>
      <c r="K90" s="29"/>
      <c r="L90" s="29"/>
      <c r="M90" s="29">
        <f>20600-20600</f>
        <v>0</v>
      </c>
      <c r="N90" s="29"/>
      <c r="O90" s="29">
        <f>20600-20000</f>
        <v>600</v>
      </c>
      <c r="P90" s="29"/>
      <c r="Q90" s="29"/>
      <c r="R90" s="29"/>
      <c r="S90" s="29"/>
      <c r="T90" s="29"/>
      <c r="U90" s="29">
        <v>20000</v>
      </c>
      <c r="V90" s="29"/>
      <c r="W90" s="29">
        <f t="shared" si="21"/>
        <v>0</v>
      </c>
      <c r="X90" s="29"/>
      <c r="Y90" s="29">
        <f t="shared" si="20"/>
        <v>600</v>
      </c>
    </row>
    <row r="91" spans="1:25" ht="37.5">
      <c r="A91" s="295"/>
      <c r="B91" s="295"/>
      <c r="C91" s="295"/>
      <c r="D91" s="284"/>
      <c r="E91" s="36" t="s">
        <v>1089</v>
      </c>
      <c r="F91" s="105">
        <f t="shared" si="19"/>
        <v>500000</v>
      </c>
      <c r="G91" s="114"/>
      <c r="H91" s="105">
        <f t="shared" si="18"/>
        <v>500000</v>
      </c>
      <c r="I91" s="222">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f>
        <v>472139.8</v>
      </c>
      <c r="Y91" s="29">
        <f t="shared" si="20"/>
        <v>268.79999999998836</v>
      </c>
    </row>
    <row r="92" spans="1:25" ht="36" hidden="1">
      <c r="A92" s="295"/>
      <c r="B92" s="295"/>
      <c r="C92" s="295"/>
      <c r="D92" s="284"/>
      <c r="E92" s="36" t="s">
        <v>1028</v>
      </c>
      <c r="F92" s="105">
        <f t="shared" si="19"/>
        <v>0</v>
      </c>
      <c r="G92" s="114">
        <v>1</v>
      </c>
      <c r="H92" s="105">
        <f t="shared" si="18"/>
        <v>0</v>
      </c>
      <c r="I92" s="222">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9">
        <f t="shared" si="20"/>
        <v>0</v>
      </c>
    </row>
    <row r="93" spans="1:25" ht="36" hidden="1">
      <c r="A93" s="295"/>
      <c r="B93" s="295"/>
      <c r="C93" s="295"/>
      <c r="D93" s="284"/>
      <c r="E93" s="36" t="s">
        <v>1029</v>
      </c>
      <c r="F93" s="105">
        <f t="shared" si="19"/>
        <v>0</v>
      </c>
      <c r="G93" s="114">
        <v>1</v>
      </c>
      <c r="H93" s="105">
        <f t="shared" si="18"/>
        <v>0</v>
      </c>
      <c r="I93" s="222">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9">
        <f t="shared" si="20"/>
        <v>0</v>
      </c>
    </row>
    <row r="94" spans="1:25" ht="56.25">
      <c r="A94" s="295"/>
      <c r="B94" s="295"/>
      <c r="C94" s="295"/>
      <c r="D94" s="284"/>
      <c r="E94" s="36" t="s">
        <v>987</v>
      </c>
      <c r="F94" s="105"/>
      <c r="G94" s="114"/>
      <c r="H94" s="105"/>
      <c r="I94" s="222">
        <v>3132</v>
      </c>
      <c r="J94" s="40">
        <v>167000</v>
      </c>
      <c r="K94" s="29"/>
      <c r="L94" s="29"/>
      <c r="M94" s="29"/>
      <c r="N94" s="29"/>
      <c r="O94" s="29"/>
      <c r="P94" s="29"/>
      <c r="Q94" s="29"/>
      <c r="R94" s="29"/>
      <c r="S94" s="29"/>
      <c r="T94" s="29">
        <v>2000</v>
      </c>
      <c r="U94" s="29"/>
      <c r="V94" s="29">
        <v>165000</v>
      </c>
      <c r="W94" s="29"/>
      <c r="X94" s="29"/>
      <c r="Y94" s="29"/>
    </row>
    <row r="95" spans="1:25" ht="42" customHeight="1">
      <c r="A95" s="295"/>
      <c r="B95" s="295"/>
      <c r="C95" s="295"/>
      <c r="D95" s="284"/>
      <c r="E95" s="36" t="s">
        <v>1030</v>
      </c>
      <c r="F95" s="105">
        <f t="shared" si="19"/>
        <v>700000</v>
      </c>
      <c r="G95" s="114">
        <v>1</v>
      </c>
      <c r="H95" s="105">
        <f t="shared" si="18"/>
        <v>700000</v>
      </c>
      <c r="I95" s="222">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f>
        <v>22501.2</v>
      </c>
      <c r="Y95" s="29">
        <f t="shared" si="20"/>
        <v>142498.8</v>
      </c>
    </row>
    <row r="96" spans="1:25" ht="37.5">
      <c r="A96" s="295"/>
      <c r="B96" s="295"/>
      <c r="C96" s="295"/>
      <c r="D96" s="284"/>
      <c r="E96" s="36" t="s">
        <v>299</v>
      </c>
      <c r="F96" s="105">
        <f t="shared" si="19"/>
        <v>214500</v>
      </c>
      <c r="G96" s="114">
        <v>1</v>
      </c>
      <c r="H96" s="105">
        <f t="shared" si="18"/>
        <v>214500</v>
      </c>
      <c r="I96" s="222">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9">
        <f t="shared" si="20"/>
        <v>3500</v>
      </c>
    </row>
    <row r="97" spans="1:25" ht="41.25" customHeight="1">
      <c r="A97" s="295"/>
      <c r="B97" s="295"/>
      <c r="C97" s="295"/>
      <c r="D97" s="284"/>
      <c r="E97" s="36" t="s">
        <v>833</v>
      </c>
      <c r="F97" s="105">
        <f t="shared" si="19"/>
        <v>250000</v>
      </c>
      <c r="G97" s="114">
        <v>1</v>
      </c>
      <c r="H97" s="105">
        <f t="shared" si="18"/>
        <v>250000</v>
      </c>
      <c r="I97" s="222">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9">
        <f t="shared" si="20"/>
        <v>225</v>
      </c>
    </row>
    <row r="98" spans="1:25" ht="56.25">
      <c r="A98" s="295"/>
      <c r="B98" s="295"/>
      <c r="C98" s="295"/>
      <c r="D98" s="284"/>
      <c r="E98" s="36" t="s">
        <v>472</v>
      </c>
      <c r="F98" s="105">
        <f t="shared" si="19"/>
        <v>950000</v>
      </c>
      <c r="G98" s="114">
        <v>1</v>
      </c>
      <c r="H98" s="105">
        <f t="shared" si="18"/>
        <v>950000</v>
      </c>
      <c r="I98" s="222">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9">
        <f t="shared" si="20"/>
        <v>222447.72</v>
      </c>
    </row>
    <row r="99" spans="1:25" ht="40.5" customHeight="1">
      <c r="A99" s="295"/>
      <c r="B99" s="295"/>
      <c r="C99" s="295"/>
      <c r="D99" s="284"/>
      <c r="E99" s="36" t="s">
        <v>300</v>
      </c>
      <c r="F99" s="105">
        <f t="shared" si="19"/>
        <v>55000</v>
      </c>
      <c r="G99" s="114">
        <v>1</v>
      </c>
      <c r="H99" s="105">
        <f t="shared" si="18"/>
        <v>55000</v>
      </c>
      <c r="I99" s="222">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9">
        <f t="shared" si="20"/>
        <v>40000</v>
      </c>
    </row>
    <row r="100" spans="1:25" ht="37.5">
      <c r="A100" s="295"/>
      <c r="B100" s="295"/>
      <c r="C100" s="295"/>
      <c r="D100" s="284"/>
      <c r="E100" s="36" t="s">
        <v>301</v>
      </c>
      <c r="F100" s="105">
        <f t="shared" si="19"/>
        <v>500000</v>
      </c>
      <c r="G100" s="114">
        <v>1</v>
      </c>
      <c r="H100" s="105">
        <f t="shared" si="18"/>
        <v>500000</v>
      </c>
      <c r="I100" s="222">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f>
        <v>110000</v>
      </c>
      <c r="V100" s="29">
        <f>42425.32+15000</f>
        <v>57425.32</v>
      </c>
      <c r="W100" s="29">
        <f t="shared" si="21"/>
        <v>0</v>
      </c>
      <c r="X100" s="29">
        <f>200000+1231.2+37440.2</f>
        <v>238671.40000000002</v>
      </c>
      <c r="Y100" s="29">
        <f t="shared" si="20"/>
        <v>93903.27999999997</v>
      </c>
    </row>
    <row r="101" spans="1:25" ht="37.5">
      <c r="A101" s="295"/>
      <c r="B101" s="295"/>
      <c r="C101" s="295"/>
      <c r="D101" s="284"/>
      <c r="E101" s="36" t="s">
        <v>302</v>
      </c>
      <c r="F101" s="105">
        <f t="shared" si="19"/>
        <v>100000</v>
      </c>
      <c r="G101" s="114">
        <v>1</v>
      </c>
      <c r="H101" s="105">
        <f t="shared" si="18"/>
        <v>100000</v>
      </c>
      <c r="I101" s="222">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9">
        <f t="shared" si="20"/>
        <v>2928.399999999994</v>
      </c>
    </row>
    <row r="102" spans="1:25" ht="36" hidden="1">
      <c r="A102" s="295"/>
      <c r="B102" s="295"/>
      <c r="C102" s="295"/>
      <c r="D102" s="284"/>
      <c r="E102" s="36" t="s">
        <v>632</v>
      </c>
      <c r="F102" s="105">
        <f t="shared" si="19"/>
        <v>0</v>
      </c>
      <c r="G102" s="114">
        <v>1</v>
      </c>
      <c r="H102" s="105">
        <f t="shared" si="18"/>
        <v>0</v>
      </c>
      <c r="I102" s="222">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9">
        <f t="shared" si="20"/>
        <v>0</v>
      </c>
    </row>
    <row r="103" spans="1:25" ht="37.5">
      <c r="A103" s="295"/>
      <c r="B103" s="295"/>
      <c r="C103" s="295"/>
      <c r="D103" s="284"/>
      <c r="E103" s="36" t="s">
        <v>163</v>
      </c>
      <c r="F103" s="105">
        <f t="shared" si="19"/>
        <v>100000</v>
      </c>
      <c r="G103" s="114">
        <v>1</v>
      </c>
      <c r="H103" s="105">
        <f t="shared" si="18"/>
        <v>100000</v>
      </c>
      <c r="I103" s="222">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40000+56895.6+1479</f>
        <v>98374.6</v>
      </c>
      <c r="Y103" s="29">
        <f t="shared" si="20"/>
        <v>1625.3999999999942</v>
      </c>
    </row>
    <row r="104" spans="1:25" ht="37.5">
      <c r="A104" s="295"/>
      <c r="B104" s="295"/>
      <c r="C104" s="295"/>
      <c r="D104" s="284"/>
      <c r="E104" s="36" t="s">
        <v>164</v>
      </c>
      <c r="F104" s="105">
        <f t="shared" si="19"/>
        <v>500000</v>
      </c>
      <c r="G104" s="114">
        <v>1</v>
      </c>
      <c r="H104" s="105">
        <f t="shared" si="18"/>
        <v>500000</v>
      </c>
      <c r="I104" s="222">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f>
        <v>15000</v>
      </c>
      <c r="V104" s="29">
        <f>200000+15000-215000+250000</f>
        <v>250000</v>
      </c>
      <c r="W104" s="29">
        <f t="shared" si="21"/>
        <v>0</v>
      </c>
      <c r="X104" s="29">
        <f>200000+4471.2+1002</f>
        <v>205473.2</v>
      </c>
      <c r="Y104" s="29">
        <f t="shared" si="20"/>
        <v>29526.79999999999</v>
      </c>
    </row>
    <row r="105" spans="1:25" ht="37.5">
      <c r="A105" s="295"/>
      <c r="B105" s="295"/>
      <c r="C105" s="295"/>
      <c r="D105" s="284"/>
      <c r="E105" s="36" t="s">
        <v>165</v>
      </c>
      <c r="F105" s="105">
        <f t="shared" si="19"/>
        <v>35900</v>
      </c>
      <c r="G105" s="114">
        <v>1</v>
      </c>
      <c r="H105" s="105">
        <f t="shared" si="18"/>
        <v>35900</v>
      </c>
      <c r="I105" s="222">
        <v>3132</v>
      </c>
      <c r="J105" s="40">
        <v>35900</v>
      </c>
      <c r="K105" s="29"/>
      <c r="L105" s="29"/>
      <c r="M105" s="29">
        <v>35900</v>
      </c>
      <c r="N105" s="29"/>
      <c r="O105" s="29"/>
      <c r="P105" s="29"/>
      <c r="Q105" s="29"/>
      <c r="R105" s="29"/>
      <c r="S105" s="29"/>
      <c r="T105" s="29"/>
      <c r="U105" s="29"/>
      <c r="V105" s="29"/>
      <c r="W105" s="29">
        <f t="shared" si="21"/>
        <v>0</v>
      </c>
      <c r="X105" s="29">
        <v>33367</v>
      </c>
      <c r="Y105" s="29">
        <f t="shared" si="20"/>
        <v>2533</v>
      </c>
    </row>
    <row r="106" spans="1:25" ht="37.5">
      <c r="A106" s="295"/>
      <c r="B106" s="295"/>
      <c r="C106" s="295"/>
      <c r="D106" s="284"/>
      <c r="E106" s="36" t="s">
        <v>166</v>
      </c>
      <c r="F106" s="105">
        <f t="shared" si="19"/>
        <v>550000</v>
      </c>
      <c r="G106" s="114">
        <v>1</v>
      </c>
      <c r="H106" s="105">
        <f t="shared" si="18"/>
        <v>550000</v>
      </c>
      <c r="I106" s="222">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f>
        <v>120000</v>
      </c>
      <c r="V106" s="29">
        <f>150000+59000</f>
        <v>209000</v>
      </c>
      <c r="W106" s="29">
        <f t="shared" si="21"/>
        <v>0</v>
      </c>
      <c r="X106" s="29">
        <f>173000+47496</f>
        <v>220496</v>
      </c>
      <c r="Y106" s="29">
        <f t="shared" si="20"/>
        <v>504</v>
      </c>
    </row>
    <row r="107" spans="1:25" ht="42" customHeight="1" hidden="1">
      <c r="A107" s="295"/>
      <c r="B107" s="295"/>
      <c r="C107" s="295"/>
      <c r="D107" s="284"/>
      <c r="E107" s="36" t="s">
        <v>911</v>
      </c>
      <c r="F107" s="105">
        <f t="shared" si="19"/>
        <v>0</v>
      </c>
      <c r="G107" s="114">
        <v>1</v>
      </c>
      <c r="H107" s="105">
        <f t="shared" si="18"/>
        <v>0</v>
      </c>
      <c r="I107" s="222">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9">
        <f t="shared" si="20"/>
        <v>0</v>
      </c>
    </row>
    <row r="108" spans="1:25" ht="42" customHeight="1">
      <c r="A108" s="295"/>
      <c r="B108" s="295"/>
      <c r="C108" s="295"/>
      <c r="D108" s="284"/>
      <c r="E108" s="36" t="s">
        <v>246</v>
      </c>
      <c r="F108" s="105">
        <f t="shared" si="19"/>
        <v>380000</v>
      </c>
      <c r="G108" s="114"/>
      <c r="H108" s="105">
        <f t="shared" si="18"/>
        <v>380000</v>
      </c>
      <c r="I108" s="222">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9">
        <f t="shared" si="20"/>
        <v>0</v>
      </c>
    </row>
    <row r="109" spans="1:25" ht="56.25">
      <c r="A109" s="295"/>
      <c r="B109" s="295"/>
      <c r="C109" s="295"/>
      <c r="D109" s="284"/>
      <c r="E109" s="36" t="s">
        <v>379</v>
      </c>
      <c r="F109" s="105">
        <f t="shared" si="19"/>
        <v>78300</v>
      </c>
      <c r="G109" s="114">
        <v>1</v>
      </c>
      <c r="H109" s="105">
        <f t="shared" si="18"/>
        <v>78300</v>
      </c>
      <c r="I109" s="222">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9">
        <f t="shared" si="20"/>
        <v>78300</v>
      </c>
    </row>
    <row r="110" spans="1:25" ht="131.25">
      <c r="A110" s="295"/>
      <c r="B110" s="295"/>
      <c r="C110" s="295"/>
      <c r="D110" s="284"/>
      <c r="E110" s="36" t="s">
        <v>673</v>
      </c>
      <c r="F110" s="105">
        <f t="shared" si="19"/>
        <v>412000</v>
      </c>
      <c r="G110" s="114"/>
      <c r="H110" s="105">
        <f t="shared" si="18"/>
        <v>412000</v>
      </c>
      <c r="I110" s="222">
        <v>3132</v>
      </c>
      <c r="J110" s="40">
        <v>412000</v>
      </c>
      <c r="K110" s="29"/>
      <c r="L110" s="29"/>
      <c r="M110" s="29"/>
      <c r="N110" s="29"/>
      <c r="O110" s="29"/>
      <c r="P110" s="29"/>
      <c r="Q110" s="29"/>
      <c r="R110" s="29"/>
      <c r="S110" s="29"/>
      <c r="T110" s="29">
        <f>412000</f>
        <v>412000</v>
      </c>
      <c r="U110" s="29"/>
      <c r="V110" s="29"/>
      <c r="W110" s="29">
        <f t="shared" si="21"/>
        <v>0</v>
      </c>
      <c r="X110" s="29"/>
      <c r="Y110" s="29">
        <f t="shared" si="20"/>
        <v>412000</v>
      </c>
    </row>
    <row r="111" spans="1:25" ht="37.5">
      <c r="A111" s="295"/>
      <c r="B111" s="295"/>
      <c r="C111" s="295"/>
      <c r="D111" s="284"/>
      <c r="E111" s="36" t="s">
        <v>187</v>
      </c>
      <c r="F111" s="105">
        <f t="shared" si="19"/>
        <v>450000</v>
      </c>
      <c r="G111" s="114">
        <v>1</v>
      </c>
      <c r="H111" s="105">
        <f t="shared" si="18"/>
        <v>450000</v>
      </c>
      <c r="I111" s="222">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f>
        <v>180000</v>
      </c>
      <c r="Y111" s="29">
        <f t="shared" si="20"/>
        <v>5000</v>
      </c>
    </row>
    <row r="112" spans="1:25" ht="37.5">
      <c r="A112" s="295"/>
      <c r="B112" s="295"/>
      <c r="C112" s="295"/>
      <c r="D112" s="284"/>
      <c r="E112" s="36" t="s">
        <v>321</v>
      </c>
      <c r="F112" s="105">
        <f t="shared" si="19"/>
        <v>350000</v>
      </c>
      <c r="G112" s="114">
        <v>1</v>
      </c>
      <c r="H112" s="105">
        <f t="shared" si="18"/>
        <v>350000</v>
      </c>
      <c r="I112" s="222">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f>
        <v>184288.8</v>
      </c>
      <c r="Y112" s="29">
        <f t="shared" si="20"/>
        <v>10711.200000000012</v>
      </c>
    </row>
    <row r="113" spans="1:25" ht="41.25" customHeight="1">
      <c r="A113" s="295"/>
      <c r="B113" s="295"/>
      <c r="C113" s="295"/>
      <c r="D113" s="284"/>
      <c r="E113" s="36" t="s">
        <v>141</v>
      </c>
      <c r="F113" s="105">
        <f t="shared" si="19"/>
        <v>11500</v>
      </c>
      <c r="G113" s="114">
        <v>1</v>
      </c>
      <c r="H113" s="105">
        <f t="shared" si="18"/>
        <v>11500</v>
      </c>
      <c r="I113" s="222">
        <v>3132</v>
      </c>
      <c r="J113" s="40">
        <v>11500</v>
      </c>
      <c r="K113" s="29"/>
      <c r="L113" s="29"/>
      <c r="M113" s="29">
        <v>11500</v>
      </c>
      <c r="N113" s="29"/>
      <c r="O113" s="29"/>
      <c r="P113" s="29">
        <v>-11000</v>
      </c>
      <c r="Q113" s="29">
        <v>-500</v>
      </c>
      <c r="R113" s="29">
        <v>500</v>
      </c>
      <c r="S113" s="29"/>
      <c r="T113" s="29">
        <v>11000</v>
      </c>
      <c r="U113" s="29"/>
      <c r="V113" s="29"/>
      <c r="W113" s="29">
        <f t="shared" si="21"/>
        <v>0</v>
      </c>
      <c r="X113" s="29"/>
      <c r="Y113" s="29">
        <f t="shared" si="20"/>
        <v>11500</v>
      </c>
    </row>
    <row r="114" spans="1:25" ht="56.25">
      <c r="A114" s="295"/>
      <c r="B114" s="295"/>
      <c r="C114" s="295"/>
      <c r="D114" s="284"/>
      <c r="E114" s="36" t="s">
        <v>855</v>
      </c>
      <c r="F114" s="105">
        <f t="shared" si="19"/>
        <v>18700</v>
      </c>
      <c r="G114" s="114">
        <v>1</v>
      </c>
      <c r="H114" s="105">
        <f t="shared" si="18"/>
        <v>18700</v>
      </c>
      <c r="I114" s="222">
        <v>3132</v>
      </c>
      <c r="J114" s="40">
        <v>18700</v>
      </c>
      <c r="K114" s="29"/>
      <c r="L114" s="29"/>
      <c r="M114" s="29">
        <v>18700</v>
      </c>
      <c r="N114" s="29"/>
      <c r="O114" s="29"/>
      <c r="P114" s="29">
        <v>-18000</v>
      </c>
      <c r="Q114" s="29">
        <v>-700</v>
      </c>
      <c r="R114" s="29">
        <v>700</v>
      </c>
      <c r="S114" s="29"/>
      <c r="T114" s="29">
        <v>18000</v>
      </c>
      <c r="U114" s="29"/>
      <c r="V114" s="29"/>
      <c r="W114" s="29">
        <f t="shared" si="21"/>
        <v>0</v>
      </c>
      <c r="X114" s="29"/>
      <c r="Y114" s="29">
        <f t="shared" si="20"/>
        <v>18700</v>
      </c>
    </row>
    <row r="115" spans="1:25" ht="117.75" customHeight="1">
      <c r="A115" s="295"/>
      <c r="B115" s="295"/>
      <c r="C115" s="295"/>
      <c r="D115" s="284"/>
      <c r="E115" s="184" t="s">
        <v>1019</v>
      </c>
      <c r="F115" s="198">
        <f t="shared" si="19"/>
        <v>1000000</v>
      </c>
      <c r="G115" s="199">
        <v>1</v>
      </c>
      <c r="H115" s="198">
        <f t="shared" si="18"/>
        <v>1000000</v>
      </c>
      <c r="I115" s="229">
        <v>3132</v>
      </c>
      <c r="J115" s="200">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9">
        <f t="shared" si="20"/>
        <v>394459.2</v>
      </c>
    </row>
    <row r="116" spans="1:25" ht="37.5">
      <c r="A116" s="295"/>
      <c r="B116" s="295"/>
      <c r="C116" s="295"/>
      <c r="D116" s="284"/>
      <c r="E116" s="36" t="s">
        <v>635</v>
      </c>
      <c r="F116" s="105">
        <f t="shared" si="19"/>
        <v>97500</v>
      </c>
      <c r="G116" s="114">
        <v>1</v>
      </c>
      <c r="H116" s="105">
        <f t="shared" si="18"/>
        <v>97500</v>
      </c>
      <c r="I116" s="222">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c r="Y116" s="29">
        <f t="shared" si="20"/>
        <v>97500</v>
      </c>
    </row>
    <row r="117" spans="1:25" ht="37.5">
      <c r="A117" s="295"/>
      <c r="B117" s="295"/>
      <c r="C117" s="295"/>
      <c r="D117" s="284"/>
      <c r="E117" s="36" t="s">
        <v>989</v>
      </c>
      <c r="F117" s="105">
        <f t="shared" si="19"/>
        <v>250000</v>
      </c>
      <c r="G117" s="114"/>
      <c r="H117" s="105">
        <f t="shared" si="18"/>
        <v>250000</v>
      </c>
      <c r="I117" s="222">
        <v>3132</v>
      </c>
      <c r="J117" s="40">
        <v>250000</v>
      </c>
      <c r="K117" s="29"/>
      <c r="L117" s="29"/>
      <c r="M117" s="29"/>
      <c r="N117" s="29"/>
      <c r="O117" s="29"/>
      <c r="P117" s="29"/>
      <c r="Q117" s="29"/>
      <c r="R117" s="29"/>
      <c r="S117" s="29"/>
      <c r="T117" s="29"/>
      <c r="U117" s="29"/>
      <c r="V117" s="29">
        <f>250000</f>
        <v>250000</v>
      </c>
      <c r="W117" s="29">
        <f t="shared" si="21"/>
        <v>0</v>
      </c>
      <c r="X117" s="29"/>
      <c r="Y117" s="29">
        <f t="shared" si="20"/>
        <v>0</v>
      </c>
    </row>
    <row r="118" spans="1:25" ht="37.5">
      <c r="A118" s="295"/>
      <c r="B118" s="295"/>
      <c r="C118" s="295"/>
      <c r="D118" s="284"/>
      <c r="E118" s="36" t="s">
        <v>636</v>
      </c>
      <c r="F118" s="105">
        <f t="shared" si="19"/>
        <v>950000</v>
      </c>
      <c r="G118" s="114">
        <v>1</v>
      </c>
      <c r="H118" s="105">
        <f t="shared" si="18"/>
        <v>950000</v>
      </c>
      <c r="I118" s="222">
        <v>3132</v>
      </c>
      <c r="J118" s="40">
        <v>950000</v>
      </c>
      <c r="K118" s="29"/>
      <c r="L118" s="29"/>
      <c r="M118" s="29">
        <v>25000</v>
      </c>
      <c r="N118" s="29"/>
      <c r="O118" s="29">
        <v>-25000</v>
      </c>
      <c r="P118" s="29">
        <v>300000</v>
      </c>
      <c r="Q118" s="29">
        <v>175000</v>
      </c>
      <c r="R118" s="29">
        <f>325000-300000-25000</f>
        <v>0</v>
      </c>
      <c r="S118" s="29"/>
      <c r="T118" s="29">
        <f>50000+25000-75000</f>
        <v>0</v>
      </c>
      <c r="U118" s="29">
        <f>400000-75000</f>
        <v>325000</v>
      </c>
      <c r="V118" s="29">
        <v>150000</v>
      </c>
      <c r="W118" s="29">
        <f t="shared" si="21"/>
        <v>0</v>
      </c>
      <c r="X118" s="29">
        <f>300000+167388.44+2506.8</f>
        <v>469895.24</v>
      </c>
      <c r="Y118" s="29">
        <f t="shared" si="20"/>
        <v>5104.760000000009</v>
      </c>
    </row>
    <row r="119" spans="1:25" ht="41.25" customHeight="1">
      <c r="A119" s="295"/>
      <c r="B119" s="295"/>
      <c r="C119" s="295"/>
      <c r="D119" s="284"/>
      <c r="E119" s="36" t="s">
        <v>637</v>
      </c>
      <c r="F119" s="105">
        <f t="shared" si="19"/>
        <v>400000</v>
      </c>
      <c r="G119" s="114">
        <v>1</v>
      </c>
      <c r="H119" s="105">
        <f t="shared" si="18"/>
        <v>400000</v>
      </c>
      <c r="I119" s="222">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f>
        <v>105000</v>
      </c>
      <c r="Y119" s="29">
        <f t="shared" si="20"/>
        <v>0</v>
      </c>
    </row>
    <row r="120" spans="1:25" ht="37.5">
      <c r="A120" s="295"/>
      <c r="B120" s="295"/>
      <c r="C120" s="295"/>
      <c r="D120" s="284"/>
      <c r="E120" s="36" t="s">
        <v>61</v>
      </c>
      <c r="F120" s="105">
        <f t="shared" si="19"/>
        <v>500000</v>
      </c>
      <c r="G120" s="114">
        <v>1</v>
      </c>
      <c r="H120" s="105">
        <f t="shared" si="18"/>
        <v>500000</v>
      </c>
      <c r="I120" s="222">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9">
        <f t="shared" si="20"/>
        <v>177.5100000000093</v>
      </c>
    </row>
    <row r="121" spans="1:25" ht="42" customHeight="1">
      <c r="A121" s="295"/>
      <c r="B121" s="295"/>
      <c r="C121" s="295"/>
      <c r="D121" s="284"/>
      <c r="E121" s="36" t="s">
        <v>638</v>
      </c>
      <c r="F121" s="105">
        <f t="shared" si="19"/>
        <v>53500</v>
      </c>
      <c r="G121" s="114">
        <v>1</v>
      </c>
      <c r="H121" s="105">
        <f t="shared" si="18"/>
        <v>53500</v>
      </c>
      <c r="I121" s="222">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9">
        <f t="shared" si="20"/>
        <v>0</v>
      </c>
    </row>
    <row r="122" spans="1:25" ht="37.5">
      <c r="A122" s="295"/>
      <c r="B122" s="295"/>
      <c r="C122" s="295"/>
      <c r="D122" s="284"/>
      <c r="E122" s="36" t="s">
        <v>708</v>
      </c>
      <c r="F122" s="105">
        <f t="shared" si="19"/>
        <v>4600</v>
      </c>
      <c r="G122" s="114">
        <v>1</v>
      </c>
      <c r="H122" s="105">
        <f t="shared" si="18"/>
        <v>4600</v>
      </c>
      <c r="I122" s="222">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9">
        <f t="shared" si="20"/>
        <v>0</v>
      </c>
    </row>
    <row r="123" spans="1:25" ht="62.25" customHeight="1" hidden="1">
      <c r="A123" s="295"/>
      <c r="B123" s="295"/>
      <c r="C123" s="295"/>
      <c r="D123" s="284"/>
      <c r="E123" s="36" t="s">
        <v>801</v>
      </c>
      <c r="F123" s="105">
        <f t="shared" si="19"/>
        <v>0</v>
      </c>
      <c r="G123" s="114">
        <v>1</v>
      </c>
      <c r="H123" s="105">
        <f t="shared" si="18"/>
        <v>0</v>
      </c>
      <c r="I123" s="222">
        <v>3132</v>
      </c>
      <c r="J123" s="40">
        <f>39600-39600</f>
        <v>0</v>
      </c>
      <c r="K123" s="29"/>
      <c r="L123" s="29"/>
      <c r="M123" s="29">
        <v>39600</v>
      </c>
      <c r="N123" s="29">
        <v>-39600</v>
      </c>
      <c r="O123" s="29"/>
      <c r="P123" s="29"/>
      <c r="Q123" s="29"/>
      <c r="R123" s="29"/>
      <c r="S123" s="29"/>
      <c r="T123" s="29"/>
      <c r="U123" s="29"/>
      <c r="V123" s="29"/>
      <c r="W123" s="29">
        <f t="shared" si="21"/>
        <v>0</v>
      </c>
      <c r="X123" s="29"/>
      <c r="Y123" s="29">
        <f t="shared" si="20"/>
        <v>0</v>
      </c>
    </row>
    <row r="124" spans="1:25" ht="37.5">
      <c r="A124" s="295"/>
      <c r="B124" s="295"/>
      <c r="C124" s="295"/>
      <c r="D124" s="284"/>
      <c r="E124" s="36" t="s">
        <v>802</v>
      </c>
      <c r="F124" s="105">
        <f t="shared" si="19"/>
        <v>102200</v>
      </c>
      <c r="G124" s="114">
        <v>1</v>
      </c>
      <c r="H124" s="105">
        <f t="shared" si="18"/>
        <v>102200</v>
      </c>
      <c r="I124" s="222">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9">
        <f t="shared" si="20"/>
        <v>17048</v>
      </c>
    </row>
    <row r="125" spans="1:25" ht="37.5">
      <c r="A125" s="295"/>
      <c r="B125" s="295"/>
      <c r="C125" s="295"/>
      <c r="D125" s="284"/>
      <c r="E125" s="36" t="s">
        <v>1196</v>
      </c>
      <c r="F125" s="105">
        <f t="shared" si="19"/>
        <v>66500</v>
      </c>
      <c r="G125" s="114">
        <v>1</v>
      </c>
      <c r="H125" s="105">
        <f t="shared" si="18"/>
        <v>66500</v>
      </c>
      <c r="I125" s="222">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9">
        <f t="shared" si="20"/>
        <v>19555.46</v>
      </c>
    </row>
    <row r="126" spans="1:25" ht="56.25">
      <c r="A126" s="295"/>
      <c r="B126" s="295"/>
      <c r="C126" s="295"/>
      <c r="D126" s="284"/>
      <c r="E126" s="36" t="s">
        <v>1197</v>
      </c>
      <c r="F126" s="105">
        <f t="shared" si="19"/>
        <v>400000</v>
      </c>
      <c r="G126" s="114">
        <v>1</v>
      </c>
      <c r="H126" s="105">
        <f t="shared" si="18"/>
        <v>400000</v>
      </c>
      <c r="I126" s="222">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f>
        <v>205667</v>
      </c>
      <c r="Y126" s="29">
        <f t="shared" si="20"/>
        <v>44333</v>
      </c>
    </row>
    <row r="127" spans="1:25" ht="56.25">
      <c r="A127" s="295"/>
      <c r="B127" s="295"/>
      <c r="C127" s="295"/>
      <c r="D127" s="284"/>
      <c r="E127" s="36" t="s">
        <v>1035</v>
      </c>
      <c r="F127" s="105">
        <f t="shared" si="19"/>
        <v>191100</v>
      </c>
      <c r="G127" s="114">
        <v>1</v>
      </c>
      <c r="H127" s="105">
        <f t="shared" si="18"/>
        <v>191100</v>
      </c>
      <c r="I127" s="222">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9">
        <f t="shared" si="20"/>
        <v>2153.8699999999953</v>
      </c>
    </row>
    <row r="128" spans="1:25" ht="37.5">
      <c r="A128" s="295"/>
      <c r="B128" s="295"/>
      <c r="C128" s="295"/>
      <c r="D128" s="284"/>
      <c r="E128" s="36" t="s">
        <v>1108</v>
      </c>
      <c r="F128" s="105">
        <f t="shared" si="19"/>
        <v>50500</v>
      </c>
      <c r="G128" s="114">
        <v>1</v>
      </c>
      <c r="H128" s="105">
        <f t="shared" si="18"/>
        <v>50500</v>
      </c>
      <c r="I128" s="222">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9">
        <f t="shared" si="20"/>
        <v>759.2900000000009</v>
      </c>
    </row>
    <row r="129" spans="1:25" ht="37.5">
      <c r="A129" s="295"/>
      <c r="B129" s="295"/>
      <c r="C129" s="295"/>
      <c r="D129" s="284"/>
      <c r="E129" s="36" t="s">
        <v>790</v>
      </c>
      <c r="F129" s="105">
        <f t="shared" si="19"/>
        <v>500000</v>
      </c>
      <c r="G129" s="114"/>
      <c r="H129" s="105">
        <f t="shared" si="18"/>
        <v>500000</v>
      </c>
      <c r="I129" s="222">
        <v>3132</v>
      </c>
      <c r="J129" s="40">
        <v>500000</v>
      </c>
      <c r="K129" s="29"/>
      <c r="L129" s="29"/>
      <c r="M129" s="29"/>
      <c r="N129" s="29"/>
      <c r="O129" s="29"/>
      <c r="P129" s="29"/>
      <c r="Q129" s="29"/>
      <c r="R129" s="29">
        <v>100000</v>
      </c>
      <c r="S129" s="29"/>
      <c r="T129" s="29">
        <v>-20000</v>
      </c>
      <c r="U129" s="29">
        <f>200000+20000</f>
        <v>220000</v>
      </c>
      <c r="V129" s="29">
        <v>200000</v>
      </c>
      <c r="W129" s="29">
        <f t="shared" si="21"/>
        <v>0</v>
      </c>
      <c r="X129" s="29"/>
      <c r="Y129" s="29">
        <f t="shared" si="20"/>
        <v>80000</v>
      </c>
    </row>
    <row r="130" spans="1:25" ht="42" customHeight="1" hidden="1">
      <c r="A130" s="295"/>
      <c r="B130" s="296"/>
      <c r="C130" s="296"/>
      <c r="D130" s="284"/>
      <c r="E130" s="36" t="s">
        <v>62</v>
      </c>
      <c r="F130" s="105">
        <f t="shared" si="19"/>
        <v>0</v>
      </c>
      <c r="G130" s="114">
        <v>1</v>
      </c>
      <c r="H130" s="105">
        <f t="shared" si="18"/>
        <v>0</v>
      </c>
      <c r="I130" s="222">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9">
        <f t="shared" si="20"/>
        <v>0</v>
      </c>
    </row>
    <row r="131" spans="1:25" ht="42" customHeight="1">
      <c r="A131" s="295"/>
      <c r="B131" s="42"/>
      <c r="C131" s="42"/>
      <c r="D131" s="284"/>
      <c r="E131" s="36" t="s">
        <v>788</v>
      </c>
      <c r="F131" s="105">
        <f t="shared" si="19"/>
        <v>500000</v>
      </c>
      <c r="G131" s="114"/>
      <c r="H131" s="105">
        <f t="shared" si="18"/>
        <v>500000</v>
      </c>
      <c r="I131" s="222">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9">
        <f t="shared" si="20"/>
        <v>350000</v>
      </c>
    </row>
    <row r="132" spans="1:25" ht="37.5">
      <c r="A132" s="296"/>
      <c r="B132" s="42"/>
      <c r="C132" s="42"/>
      <c r="D132" s="301"/>
      <c r="E132" s="36" t="s">
        <v>365</v>
      </c>
      <c r="F132" s="105">
        <f t="shared" si="19"/>
        <v>180000</v>
      </c>
      <c r="G132" s="114"/>
      <c r="H132" s="105">
        <f t="shared" si="18"/>
        <v>180000</v>
      </c>
      <c r="I132" s="222">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9">
        <f t="shared" si="20"/>
        <v>2</v>
      </c>
    </row>
    <row r="133" spans="1:25" ht="18.75">
      <c r="A133" s="294" t="s">
        <v>118</v>
      </c>
      <c r="B133" s="294" t="s">
        <v>1118</v>
      </c>
      <c r="C133" s="294" t="s">
        <v>85</v>
      </c>
      <c r="D133" s="283" t="s">
        <v>1088</v>
      </c>
      <c r="E133" s="36"/>
      <c r="F133" s="36"/>
      <c r="G133" s="36"/>
      <c r="H133" s="36"/>
      <c r="I133" s="223"/>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8885174.3</v>
      </c>
      <c r="T133" s="16">
        <f t="shared" si="22"/>
        <v>9993966.9</v>
      </c>
      <c r="U133" s="16">
        <f t="shared" si="22"/>
        <v>6934858.430000001</v>
      </c>
      <c r="V133" s="16">
        <f t="shared" si="22"/>
        <v>12523325.9</v>
      </c>
      <c r="W133" s="16">
        <f t="shared" si="22"/>
        <v>7.042899596854113E-11</v>
      </c>
      <c r="X133" s="16">
        <f t="shared" si="22"/>
        <v>14864375.230000004</v>
      </c>
      <c r="Y133" s="29">
        <f t="shared" si="20"/>
        <v>16743463.019999996</v>
      </c>
    </row>
    <row r="134" spans="1:25" ht="282" customHeight="1">
      <c r="A134" s="295"/>
      <c r="B134" s="295"/>
      <c r="C134" s="295"/>
      <c r="D134" s="284"/>
      <c r="E134" s="43" t="s">
        <v>583</v>
      </c>
      <c r="F134" s="43"/>
      <c r="G134" s="43"/>
      <c r="H134" s="43"/>
      <c r="I134" s="250">
        <v>3110</v>
      </c>
      <c r="J134" s="40">
        <v>1212815</v>
      </c>
      <c r="K134" s="40"/>
      <c r="L134" s="40"/>
      <c r="M134" s="40"/>
      <c r="N134" s="40"/>
      <c r="O134" s="40"/>
      <c r="P134" s="40">
        <v>1212815</v>
      </c>
      <c r="Q134" s="16"/>
      <c r="R134" s="16"/>
      <c r="S134" s="16"/>
      <c r="T134" s="16"/>
      <c r="U134" s="16"/>
      <c r="V134" s="16"/>
      <c r="W134" s="29">
        <f t="shared" si="21"/>
        <v>0</v>
      </c>
      <c r="X134" s="40">
        <f>204919.02+14614.98+289644.26+199890</f>
        <v>709068.26</v>
      </c>
      <c r="Y134" s="29">
        <f t="shared" si="20"/>
        <v>503746.74</v>
      </c>
    </row>
    <row r="135" spans="1:25" ht="93.75">
      <c r="A135" s="295"/>
      <c r="B135" s="295"/>
      <c r="C135" s="295"/>
      <c r="D135" s="284"/>
      <c r="E135" s="43" t="s">
        <v>459</v>
      </c>
      <c r="F135" s="43"/>
      <c r="G135" s="43"/>
      <c r="H135" s="43"/>
      <c r="I135" s="250">
        <v>3110</v>
      </c>
      <c r="J135" s="40">
        <f>2500000-125000-202441</f>
        <v>2172559</v>
      </c>
      <c r="K135" s="29"/>
      <c r="L135" s="29"/>
      <c r="M135" s="29"/>
      <c r="N135" s="29"/>
      <c r="O135" s="29"/>
      <c r="P135" s="29"/>
      <c r="Q135" s="29"/>
      <c r="R135" s="29"/>
      <c r="S135" s="40">
        <f>2500000-125000-202441-449353.8-864084.9</f>
        <v>859120.2999999999</v>
      </c>
      <c r="T135" s="29">
        <f>209369.4-559877.9-500000</f>
        <v>-850508.5</v>
      </c>
      <c r="U135" s="29">
        <f>449353.8+603350.2+499877.9+300000</f>
        <v>1852581.9</v>
      </c>
      <c r="V135" s="29">
        <f>51365.3+60000+200000</f>
        <v>311365.3</v>
      </c>
      <c r="W135" s="29">
        <f t="shared" si="21"/>
        <v>0</v>
      </c>
      <c r="X135" s="29"/>
      <c r="Y135" s="29">
        <f t="shared" si="20"/>
        <v>8611.79999999993</v>
      </c>
    </row>
    <row r="136" spans="1:25" ht="90" hidden="1">
      <c r="A136" s="295"/>
      <c r="B136" s="295"/>
      <c r="C136" s="295"/>
      <c r="D136" s="284"/>
      <c r="E136" s="43" t="s">
        <v>792</v>
      </c>
      <c r="F136" s="43"/>
      <c r="G136" s="43"/>
      <c r="H136" s="43"/>
      <c r="I136" s="250">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9">
        <f t="shared" si="20"/>
        <v>0</v>
      </c>
    </row>
    <row r="137" spans="1:25" ht="93.75">
      <c r="A137" s="295"/>
      <c r="B137" s="295"/>
      <c r="C137" s="295"/>
      <c r="D137" s="284"/>
      <c r="E137" s="43" t="s">
        <v>1103</v>
      </c>
      <c r="F137" s="43"/>
      <c r="G137" s="43"/>
      <c r="H137" s="43"/>
      <c r="I137" s="250">
        <v>3110</v>
      </c>
      <c r="J137" s="40">
        <f>200000-69000</f>
        <v>131000</v>
      </c>
      <c r="K137" s="29"/>
      <c r="L137" s="29"/>
      <c r="M137" s="29"/>
      <c r="N137" s="29"/>
      <c r="O137" s="29"/>
      <c r="P137" s="29"/>
      <c r="Q137" s="29"/>
      <c r="R137" s="29"/>
      <c r="S137" s="40">
        <f>200000-69000</f>
        <v>131000</v>
      </c>
      <c r="T137" s="29"/>
      <c r="U137" s="29"/>
      <c r="V137" s="29"/>
      <c r="W137" s="29">
        <f t="shared" si="21"/>
        <v>0</v>
      </c>
      <c r="X137" s="29"/>
      <c r="Y137" s="29">
        <f t="shared" si="20"/>
        <v>131000</v>
      </c>
    </row>
    <row r="138" spans="1:25" ht="75">
      <c r="A138" s="295"/>
      <c r="B138" s="295"/>
      <c r="C138" s="295"/>
      <c r="D138" s="284"/>
      <c r="E138" s="43" t="s">
        <v>913</v>
      </c>
      <c r="F138" s="43"/>
      <c r="G138" s="43"/>
      <c r="H138" s="43"/>
      <c r="I138" s="250">
        <v>3110</v>
      </c>
      <c r="J138" s="40">
        <f>80000+69000</f>
        <v>149000</v>
      </c>
      <c r="K138" s="29"/>
      <c r="L138" s="29"/>
      <c r="M138" s="29"/>
      <c r="N138" s="29"/>
      <c r="O138" s="29"/>
      <c r="P138" s="29"/>
      <c r="Q138" s="29"/>
      <c r="R138" s="29"/>
      <c r="S138" s="40">
        <f>80000+69000</f>
        <v>149000</v>
      </c>
      <c r="T138" s="29"/>
      <c r="U138" s="29"/>
      <c r="V138" s="29"/>
      <c r="W138" s="29">
        <f t="shared" si="21"/>
        <v>0</v>
      </c>
      <c r="X138" s="29"/>
      <c r="Y138" s="29">
        <f t="shared" si="20"/>
        <v>149000</v>
      </c>
    </row>
    <row r="139" spans="1:25" ht="37.5">
      <c r="A139" s="295"/>
      <c r="B139" s="295"/>
      <c r="C139" s="295"/>
      <c r="D139" s="284"/>
      <c r="E139" s="43" t="s">
        <v>995</v>
      </c>
      <c r="F139" s="43"/>
      <c r="G139" s="43"/>
      <c r="H139" s="43"/>
      <c r="I139" s="250">
        <v>3110</v>
      </c>
      <c r="J139" s="40">
        <v>50000</v>
      </c>
      <c r="K139" s="29"/>
      <c r="L139" s="29"/>
      <c r="M139" s="29"/>
      <c r="N139" s="29"/>
      <c r="O139" s="29"/>
      <c r="P139" s="29"/>
      <c r="Q139" s="29"/>
      <c r="R139" s="29"/>
      <c r="S139" s="40"/>
      <c r="T139" s="29"/>
      <c r="U139" s="29"/>
      <c r="V139" s="29">
        <v>50000</v>
      </c>
      <c r="W139" s="29">
        <f t="shared" si="21"/>
        <v>0</v>
      </c>
      <c r="X139" s="29"/>
      <c r="Y139" s="29">
        <f t="shared" si="20"/>
        <v>0</v>
      </c>
    </row>
    <row r="140" spans="1:25" ht="112.5">
      <c r="A140" s="295"/>
      <c r="B140" s="295"/>
      <c r="C140" s="295"/>
      <c r="D140" s="284"/>
      <c r="E140" s="43" t="s">
        <v>1210</v>
      </c>
      <c r="F140" s="43"/>
      <c r="G140" s="43"/>
      <c r="H140" s="43"/>
      <c r="I140" s="250">
        <v>3110</v>
      </c>
      <c r="J140" s="40">
        <v>9400</v>
      </c>
      <c r="K140" s="29"/>
      <c r="L140" s="29"/>
      <c r="M140" s="29"/>
      <c r="N140" s="29"/>
      <c r="O140" s="29"/>
      <c r="P140" s="29">
        <v>9400</v>
      </c>
      <c r="Q140" s="29"/>
      <c r="R140" s="29"/>
      <c r="S140" s="40"/>
      <c r="T140" s="29"/>
      <c r="U140" s="29"/>
      <c r="V140" s="29"/>
      <c r="W140" s="29">
        <f t="shared" si="21"/>
        <v>0</v>
      </c>
      <c r="X140" s="29">
        <v>9400</v>
      </c>
      <c r="Y140" s="29">
        <f t="shared" si="20"/>
        <v>0</v>
      </c>
    </row>
    <row r="141" spans="1:25" ht="78.75" customHeight="1">
      <c r="A141" s="295"/>
      <c r="B141" s="295"/>
      <c r="C141" s="295"/>
      <c r="D141" s="284"/>
      <c r="E141" s="43" t="s">
        <v>1104</v>
      </c>
      <c r="F141" s="43"/>
      <c r="G141" s="43"/>
      <c r="H141" s="43"/>
      <c r="I141" s="250">
        <v>3110</v>
      </c>
      <c r="J141" s="40">
        <v>500000</v>
      </c>
      <c r="K141" s="29"/>
      <c r="L141" s="29"/>
      <c r="M141" s="29"/>
      <c r="N141" s="29"/>
      <c r="O141" s="29"/>
      <c r="P141" s="29"/>
      <c r="Q141" s="29"/>
      <c r="R141" s="29"/>
      <c r="S141" s="40">
        <v>500000</v>
      </c>
      <c r="T141" s="29"/>
      <c r="U141" s="29"/>
      <c r="V141" s="29"/>
      <c r="W141" s="29">
        <f t="shared" si="21"/>
        <v>0</v>
      </c>
      <c r="X141" s="29"/>
      <c r="Y141" s="29">
        <f t="shared" si="20"/>
        <v>500000</v>
      </c>
    </row>
    <row r="142" spans="1:25" ht="60" customHeight="1">
      <c r="A142" s="295"/>
      <c r="B142" s="295"/>
      <c r="C142" s="295"/>
      <c r="D142" s="284"/>
      <c r="E142" s="43" t="s">
        <v>997</v>
      </c>
      <c r="F142" s="43"/>
      <c r="G142" s="43"/>
      <c r="H142" s="43"/>
      <c r="I142" s="250">
        <v>3110</v>
      </c>
      <c r="J142" s="40">
        <v>100000</v>
      </c>
      <c r="K142" s="29"/>
      <c r="L142" s="29"/>
      <c r="M142" s="29"/>
      <c r="N142" s="29"/>
      <c r="O142" s="29"/>
      <c r="P142" s="29"/>
      <c r="Q142" s="29"/>
      <c r="R142" s="29"/>
      <c r="S142" s="40"/>
      <c r="T142" s="29">
        <v>89000</v>
      </c>
      <c r="U142" s="29"/>
      <c r="V142" s="29">
        <v>11000</v>
      </c>
      <c r="W142" s="29">
        <f t="shared" si="21"/>
        <v>0</v>
      </c>
      <c r="X142" s="29"/>
      <c r="Y142" s="29">
        <f t="shared" si="20"/>
        <v>89000</v>
      </c>
    </row>
    <row r="143" spans="1:25" ht="63.75" customHeight="1">
      <c r="A143" s="295"/>
      <c r="B143" s="295"/>
      <c r="C143" s="295"/>
      <c r="D143" s="284"/>
      <c r="E143" s="43" t="s">
        <v>996</v>
      </c>
      <c r="F143" s="43"/>
      <c r="G143" s="43"/>
      <c r="H143" s="43"/>
      <c r="I143" s="250">
        <v>3110</v>
      </c>
      <c r="J143" s="40">
        <v>525000</v>
      </c>
      <c r="K143" s="29"/>
      <c r="L143" s="29"/>
      <c r="M143" s="29"/>
      <c r="N143" s="29"/>
      <c r="O143" s="29"/>
      <c r="P143" s="29"/>
      <c r="Q143" s="29"/>
      <c r="R143" s="29"/>
      <c r="S143" s="40"/>
      <c r="T143" s="29"/>
      <c r="U143" s="29"/>
      <c r="V143" s="29">
        <f>525000</f>
        <v>525000</v>
      </c>
      <c r="W143" s="29">
        <f t="shared" si="21"/>
        <v>0</v>
      </c>
      <c r="X143" s="29"/>
      <c r="Y143" s="29">
        <f t="shared" si="20"/>
        <v>0</v>
      </c>
    </row>
    <row r="144" spans="1:25" ht="37.5">
      <c r="A144" s="295"/>
      <c r="B144" s="295"/>
      <c r="C144" s="295"/>
      <c r="D144" s="284"/>
      <c r="E144" s="43" t="s">
        <v>462</v>
      </c>
      <c r="F144" s="43"/>
      <c r="G144" s="43"/>
      <c r="H144" s="43"/>
      <c r="I144" s="250">
        <v>3110</v>
      </c>
      <c r="J144" s="40">
        <v>100000</v>
      </c>
      <c r="K144" s="29"/>
      <c r="L144" s="29"/>
      <c r="M144" s="29"/>
      <c r="N144" s="29"/>
      <c r="O144" s="29"/>
      <c r="P144" s="29">
        <v>100000</v>
      </c>
      <c r="Q144" s="29"/>
      <c r="R144" s="29"/>
      <c r="S144" s="40">
        <f>100000-100000</f>
        <v>0</v>
      </c>
      <c r="T144" s="29"/>
      <c r="U144" s="29"/>
      <c r="V144" s="29"/>
      <c r="W144" s="29">
        <f t="shared" si="21"/>
        <v>0</v>
      </c>
      <c r="X144" s="29">
        <v>99996</v>
      </c>
      <c r="Y144" s="29">
        <f t="shared" si="20"/>
        <v>4</v>
      </c>
    </row>
    <row r="145" spans="1:25" ht="112.5">
      <c r="A145" s="295"/>
      <c r="B145" s="295"/>
      <c r="C145" s="295"/>
      <c r="D145" s="284"/>
      <c r="E145" s="43" t="s">
        <v>126</v>
      </c>
      <c r="F145" s="43"/>
      <c r="G145" s="43"/>
      <c r="H145" s="43"/>
      <c r="I145" s="250">
        <v>3110</v>
      </c>
      <c r="J145" s="40">
        <v>255000</v>
      </c>
      <c r="K145" s="29"/>
      <c r="L145" s="29"/>
      <c r="M145" s="29"/>
      <c r="N145" s="29"/>
      <c r="O145" s="29"/>
      <c r="P145" s="29"/>
      <c r="Q145" s="29"/>
      <c r="R145" s="29"/>
      <c r="S145" s="40">
        <v>255000</v>
      </c>
      <c r="T145" s="29"/>
      <c r="U145" s="29"/>
      <c r="V145" s="29"/>
      <c r="W145" s="29">
        <f t="shared" si="21"/>
        <v>0</v>
      </c>
      <c r="X145" s="29"/>
      <c r="Y145" s="29">
        <f aca="true" t="shared" si="23" ref="Y145:Y218">K145+L145+M145+N145+O145+P145+Q145+R145+S145+T145-X145</f>
        <v>255000</v>
      </c>
    </row>
    <row r="146" spans="1:25" ht="22.5" customHeight="1" hidden="1">
      <c r="A146" s="295"/>
      <c r="B146" s="295"/>
      <c r="C146" s="295"/>
      <c r="D146" s="284"/>
      <c r="E146" s="43" t="s">
        <v>127</v>
      </c>
      <c r="F146" s="43"/>
      <c r="G146" s="43"/>
      <c r="H146" s="43"/>
      <c r="I146" s="250">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9">
        <f t="shared" si="23"/>
        <v>0</v>
      </c>
    </row>
    <row r="147" spans="1:25" ht="90" hidden="1">
      <c r="A147" s="295"/>
      <c r="B147" s="295"/>
      <c r="C147" s="295"/>
      <c r="D147" s="284"/>
      <c r="E147" s="43" t="s">
        <v>793</v>
      </c>
      <c r="F147" s="43"/>
      <c r="G147" s="43"/>
      <c r="H147" s="43"/>
      <c r="I147" s="250">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9">
        <f t="shared" si="23"/>
        <v>0</v>
      </c>
    </row>
    <row r="148" spans="1:25" ht="112.5">
      <c r="A148" s="295"/>
      <c r="B148" s="295"/>
      <c r="C148" s="295"/>
      <c r="D148" s="284"/>
      <c r="E148" s="43" t="s">
        <v>76</v>
      </c>
      <c r="F148" s="43"/>
      <c r="G148" s="43"/>
      <c r="H148" s="43"/>
      <c r="I148" s="250">
        <v>3110</v>
      </c>
      <c r="J148" s="40">
        <v>220000</v>
      </c>
      <c r="K148" s="29"/>
      <c r="L148" s="29"/>
      <c r="M148" s="29"/>
      <c r="N148" s="29"/>
      <c r="O148" s="29"/>
      <c r="P148" s="29"/>
      <c r="Q148" s="29"/>
      <c r="R148" s="29"/>
      <c r="S148" s="40">
        <v>220000</v>
      </c>
      <c r="T148" s="29"/>
      <c r="U148" s="29"/>
      <c r="V148" s="29"/>
      <c r="W148" s="29">
        <f t="shared" si="21"/>
        <v>0</v>
      </c>
      <c r="X148" s="29"/>
      <c r="Y148" s="29">
        <f t="shared" si="23"/>
        <v>220000</v>
      </c>
    </row>
    <row r="149" spans="1:25" ht="115.5" customHeight="1">
      <c r="A149" s="295"/>
      <c r="B149" s="295"/>
      <c r="C149" s="295"/>
      <c r="D149" s="284"/>
      <c r="E149" s="43" t="s">
        <v>1149</v>
      </c>
      <c r="F149" s="43"/>
      <c r="G149" s="43"/>
      <c r="H149" s="43"/>
      <c r="I149" s="250">
        <v>3110</v>
      </c>
      <c r="J149" s="40">
        <v>270000</v>
      </c>
      <c r="K149" s="29"/>
      <c r="L149" s="29"/>
      <c r="M149" s="29"/>
      <c r="N149" s="29"/>
      <c r="O149" s="29"/>
      <c r="P149" s="29"/>
      <c r="Q149" s="29"/>
      <c r="R149" s="29"/>
      <c r="S149" s="40">
        <v>270000</v>
      </c>
      <c r="T149" s="29"/>
      <c r="U149" s="29"/>
      <c r="V149" s="29"/>
      <c r="W149" s="29">
        <f t="shared" si="21"/>
        <v>0</v>
      </c>
      <c r="X149" s="29"/>
      <c r="Y149" s="29">
        <f t="shared" si="23"/>
        <v>270000</v>
      </c>
    </row>
    <row r="150" spans="1:25" ht="23.25" customHeight="1" hidden="1">
      <c r="A150" s="295"/>
      <c r="B150" s="295"/>
      <c r="C150" s="295"/>
      <c r="D150" s="284"/>
      <c r="E150" s="43" t="s">
        <v>722</v>
      </c>
      <c r="F150" s="43"/>
      <c r="G150" s="43"/>
      <c r="H150" s="43"/>
      <c r="I150" s="250">
        <v>3110</v>
      </c>
      <c r="J150" s="40">
        <f>200000-200000</f>
        <v>0</v>
      </c>
      <c r="K150" s="29"/>
      <c r="L150" s="29"/>
      <c r="M150" s="29"/>
      <c r="N150" s="29"/>
      <c r="O150" s="29"/>
      <c r="P150" s="29"/>
      <c r="Q150" s="29"/>
      <c r="R150" s="29"/>
      <c r="S150" s="40">
        <f>200000-200000</f>
        <v>0</v>
      </c>
      <c r="T150" s="29"/>
      <c r="U150" s="29"/>
      <c r="V150" s="29"/>
      <c r="W150" s="29">
        <f t="shared" si="21"/>
        <v>0</v>
      </c>
      <c r="X150" s="29"/>
      <c r="Y150" s="29">
        <f t="shared" si="23"/>
        <v>0</v>
      </c>
    </row>
    <row r="151" spans="1:25" ht="112.5">
      <c r="A151" s="295"/>
      <c r="B151" s="295"/>
      <c r="C151" s="295"/>
      <c r="D151" s="284"/>
      <c r="E151" s="43" t="s">
        <v>514</v>
      </c>
      <c r="F151" s="43"/>
      <c r="G151" s="43"/>
      <c r="H151" s="43"/>
      <c r="I151" s="250">
        <v>3110</v>
      </c>
      <c r="J151" s="40">
        <v>650000</v>
      </c>
      <c r="K151" s="29"/>
      <c r="L151" s="29"/>
      <c r="M151" s="29"/>
      <c r="N151" s="29"/>
      <c r="O151" s="29"/>
      <c r="P151" s="29"/>
      <c r="Q151" s="29"/>
      <c r="R151" s="29"/>
      <c r="S151" s="40">
        <v>650000</v>
      </c>
      <c r="T151" s="29"/>
      <c r="U151" s="29"/>
      <c r="V151" s="29"/>
      <c r="W151" s="29">
        <f t="shared" si="21"/>
        <v>0</v>
      </c>
      <c r="X151" s="29"/>
      <c r="Y151" s="29">
        <f t="shared" si="23"/>
        <v>650000</v>
      </c>
    </row>
    <row r="152" spans="1:25" ht="62.25" customHeight="1">
      <c r="A152" s="295"/>
      <c r="B152" s="295"/>
      <c r="C152" s="295"/>
      <c r="D152" s="284"/>
      <c r="E152" s="43" t="s">
        <v>515</v>
      </c>
      <c r="F152" s="43"/>
      <c r="G152" s="43"/>
      <c r="H152" s="43"/>
      <c r="I152" s="250">
        <v>3110</v>
      </c>
      <c r="J152" s="40">
        <v>220000</v>
      </c>
      <c r="K152" s="29"/>
      <c r="L152" s="29"/>
      <c r="M152" s="29"/>
      <c r="N152" s="29"/>
      <c r="O152" s="29"/>
      <c r="P152" s="29"/>
      <c r="Q152" s="29"/>
      <c r="R152" s="29"/>
      <c r="S152" s="40">
        <v>220000</v>
      </c>
      <c r="T152" s="29"/>
      <c r="U152" s="29"/>
      <c r="V152" s="29"/>
      <c r="W152" s="29">
        <f t="shared" si="21"/>
        <v>0</v>
      </c>
      <c r="X152" s="29"/>
      <c r="Y152" s="29">
        <f t="shared" si="23"/>
        <v>220000</v>
      </c>
    </row>
    <row r="153" spans="1:25" ht="81" customHeight="1">
      <c r="A153" s="295"/>
      <c r="B153" s="295"/>
      <c r="C153" s="295"/>
      <c r="D153" s="284"/>
      <c r="E153" s="43" t="s">
        <v>1124</v>
      </c>
      <c r="F153" s="43"/>
      <c r="G153" s="43"/>
      <c r="H153" s="43"/>
      <c r="I153" s="250">
        <v>3110</v>
      </c>
      <c r="J153" s="40">
        <f>500000+50000</f>
        <v>550000</v>
      </c>
      <c r="K153" s="29"/>
      <c r="L153" s="29"/>
      <c r="M153" s="29"/>
      <c r="N153" s="29"/>
      <c r="O153" s="29"/>
      <c r="P153" s="29"/>
      <c r="Q153" s="29"/>
      <c r="R153" s="29"/>
      <c r="S153" s="40">
        <f>500000+50000</f>
        <v>550000</v>
      </c>
      <c r="T153" s="29"/>
      <c r="U153" s="29"/>
      <c r="V153" s="29"/>
      <c r="W153" s="29">
        <f t="shared" si="21"/>
        <v>0</v>
      </c>
      <c r="X153" s="29"/>
      <c r="Y153" s="29">
        <f t="shared" si="23"/>
        <v>550000</v>
      </c>
    </row>
    <row r="154" spans="1:25" ht="56.25">
      <c r="A154" s="295"/>
      <c r="B154" s="295"/>
      <c r="C154" s="295"/>
      <c r="D154" s="284"/>
      <c r="E154" s="43" t="s">
        <v>1228</v>
      </c>
      <c r="F154" s="43"/>
      <c r="G154" s="43"/>
      <c r="H154" s="43"/>
      <c r="I154" s="250">
        <v>3110</v>
      </c>
      <c r="J154" s="40">
        <v>40000</v>
      </c>
      <c r="K154" s="29"/>
      <c r="L154" s="29"/>
      <c r="M154" s="29"/>
      <c r="N154" s="29"/>
      <c r="O154" s="29"/>
      <c r="P154" s="29"/>
      <c r="Q154" s="29"/>
      <c r="R154" s="29"/>
      <c r="S154" s="40">
        <v>40000</v>
      </c>
      <c r="T154" s="29"/>
      <c r="U154" s="29"/>
      <c r="V154" s="29"/>
      <c r="W154" s="29">
        <f t="shared" si="21"/>
        <v>0</v>
      </c>
      <c r="X154" s="29"/>
      <c r="Y154" s="29">
        <f t="shared" si="23"/>
        <v>40000</v>
      </c>
    </row>
    <row r="155" spans="1:25" ht="94.5" customHeight="1">
      <c r="A155" s="295"/>
      <c r="B155" s="295"/>
      <c r="C155" s="295"/>
      <c r="D155" s="284"/>
      <c r="E155" s="43" t="s">
        <v>476</v>
      </c>
      <c r="F155" s="43"/>
      <c r="G155" s="43"/>
      <c r="H155" s="43"/>
      <c r="I155" s="250">
        <v>3110</v>
      </c>
      <c r="J155" s="40">
        <f>600000-50000</f>
        <v>550000</v>
      </c>
      <c r="K155" s="29"/>
      <c r="L155" s="29"/>
      <c r="M155" s="29"/>
      <c r="N155" s="29"/>
      <c r="O155" s="29"/>
      <c r="P155" s="29"/>
      <c r="Q155" s="29"/>
      <c r="R155" s="29"/>
      <c r="S155" s="40">
        <f>600000-50000</f>
        <v>550000</v>
      </c>
      <c r="T155" s="29"/>
      <c r="U155" s="29"/>
      <c r="V155" s="29"/>
      <c r="W155" s="29">
        <f t="shared" si="21"/>
        <v>0</v>
      </c>
      <c r="X155" s="29"/>
      <c r="Y155" s="29">
        <f t="shared" si="23"/>
        <v>550000</v>
      </c>
    </row>
    <row r="156" spans="1:25" ht="56.25">
      <c r="A156" s="295"/>
      <c r="B156" s="295"/>
      <c r="C156" s="295"/>
      <c r="D156" s="284"/>
      <c r="E156" s="43" t="s">
        <v>69</v>
      </c>
      <c r="F156" s="43"/>
      <c r="G156" s="43"/>
      <c r="H156" s="43"/>
      <c r="I156" s="250">
        <v>3110</v>
      </c>
      <c r="J156" s="40">
        <v>30000</v>
      </c>
      <c r="K156" s="29"/>
      <c r="L156" s="29"/>
      <c r="M156" s="29"/>
      <c r="N156" s="29"/>
      <c r="O156" s="29"/>
      <c r="P156" s="29"/>
      <c r="Q156" s="29"/>
      <c r="R156" s="29"/>
      <c r="S156" s="40">
        <v>30000</v>
      </c>
      <c r="T156" s="29"/>
      <c r="U156" s="29"/>
      <c r="V156" s="29"/>
      <c r="W156" s="29">
        <f t="shared" si="21"/>
        <v>0</v>
      </c>
      <c r="X156" s="29"/>
      <c r="Y156" s="29">
        <f t="shared" si="23"/>
        <v>30000</v>
      </c>
    </row>
    <row r="157" spans="1:25" ht="112.5">
      <c r="A157" s="295"/>
      <c r="B157" s="295"/>
      <c r="C157" s="295"/>
      <c r="D157" s="284"/>
      <c r="E157" s="43" t="s">
        <v>686</v>
      </c>
      <c r="F157" s="43"/>
      <c r="G157" s="43"/>
      <c r="H157" s="43"/>
      <c r="I157" s="250">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9">
        <f t="shared" si="23"/>
        <v>51500</v>
      </c>
    </row>
    <row r="158" spans="1:25" ht="112.5">
      <c r="A158" s="295"/>
      <c r="B158" s="295"/>
      <c r="C158" s="295"/>
      <c r="D158" s="284"/>
      <c r="E158" s="43" t="s">
        <v>688</v>
      </c>
      <c r="F158" s="105">
        <f>J158</f>
        <v>66950</v>
      </c>
      <c r="G158" s="114"/>
      <c r="H158" s="105">
        <f>J158</f>
        <v>66950</v>
      </c>
      <c r="I158" s="222">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9">
        <f>K158+L158+M158+N158+O158+P158+Q158+R158+S158+T158-X158</f>
        <v>66950</v>
      </c>
    </row>
    <row r="159" spans="1:25" ht="112.5">
      <c r="A159" s="295"/>
      <c r="B159" s="295"/>
      <c r="C159" s="295"/>
      <c r="D159" s="284"/>
      <c r="E159" s="43" t="s">
        <v>685</v>
      </c>
      <c r="F159" s="105">
        <f>J159</f>
        <v>329600</v>
      </c>
      <c r="G159" s="114"/>
      <c r="H159" s="105">
        <f>J159</f>
        <v>329600</v>
      </c>
      <c r="I159" s="222">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9">
        <f>K159+L159+M159+N159+O159+P159+Q159+R159+S159+T159-X159</f>
        <v>329600</v>
      </c>
    </row>
    <row r="160" spans="1:25" ht="119.25" customHeight="1">
      <c r="A160" s="295"/>
      <c r="B160" s="295"/>
      <c r="C160" s="295"/>
      <c r="D160" s="284"/>
      <c r="E160" s="43" t="s">
        <v>499</v>
      </c>
      <c r="F160" s="43"/>
      <c r="G160" s="43"/>
      <c r="H160" s="43"/>
      <c r="I160" s="250">
        <v>3110</v>
      </c>
      <c r="J160" s="40">
        <v>100000</v>
      </c>
      <c r="K160" s="29"/>
      <c r="L160" s="29"/>
      <c r="M160" s="29"/>
      <c r="N160" s="29"/>
      <c r="O160" s="29"/>
      <c r="P160" s="29"/>
      <c r="Q160" s="29"/>
      <c r="R160" s="29"/>
      <c r="S160" s="40">
        <v>100000</v>
      </c>
      <c r="T160" s="29"/>
      <c r="U160" s="29"/>
      <c r="V160" s="29"/>
      <c r="W160" s="29">
        <f t="shared" si="21"/>
        <v>0</v>
      </c>
      <c r="X160" s="29"/>
      <c r="Y160" s="29">
        <f t="shared" si="23"/>
        <v>100000</v>
      </c>
    </row>
    <row r="161" spans="1:25" ht="56.25">
      <c r="A161" s="295"/>
      <c r="B161" s="295"/>
      <c r="C161" s="295"/>
      <c r="D161" s="284"/>
      <c r="E161" s="43" t="s">
        <v>70</v>
      </c>
      <c r="F161" s="43"/>
      <c r="G161" s="43"/>
      <c r="H161" s="43"/>
      <c r="I161" s="250">
        <v>3110</v>
      </c>
      <c r="J161" s="40">
        <v>60000</v>
      </c>
      <c r="K161" s="29"/>
      <c r="L161" s="29"/>
      <c r="M161" s="29"/>
      <c r="N161" s="29"/>
      <c r="O161" s="29"/>
      <c r="P161" s="29"/>
      <c r="Q161" s="40">
        <f>60000-60000</f>
        <v>0</v>
      </c>
      <c r="R161" s="29">
        <f>60000</f>
        <v>60000</v>
      </c>
      <c r="S161" s="29"/>
      <c r="T161" s="29"/>
      <c r="U161" s="29"/>
      <c r="V161" s="29"/>
      <c r="W161" s="29">
        <f t="shared" si="21"/>
        <v>0</v>
      </c>
      <c r="X161" s="29"/>
      <c r="Y161" s="29">
        <f t="shared" si="23"/>
        <v>60000</v>
      </c>
    </row>
    <row r="162" spans="1:25" ht="56.25">
      <c r="A162" s="295"/>
      <c r="B162" s="295"/>
      <c r="C162" s="295"/>
      <c r="D162" s="284"/>
      <c r="E162" s="43" t="s">
        <v>71</v>
      </c>
      <c r="F162" s="43"/>
      <c r="G162" s="43"/>
      <c r="H162" s="43"/>
      <c r="I162" s="250">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9">
        <f t="shared" si="23"/>
        <v>111000</v>
      </c>
    </row>
    <row r="163" spans="1:25" ht="56.25">
      <c r="A163" s="295"/>
      <c r="B163" s="295"/>
      <c r="C163" s="295"/>
      <c r="D163" s="284"/>
      <c r="E163" s="43" t="s">
        <v>92</v>
      </c>
      <c r="F163" s="43"/>
      <c r="G163" s="43"/>
      <c r="H163" s="43"/>
      <c r="I163" s="250">
        <v>3110</v>
      </c>
      <c r="J163" s="40">
        <v>60000</v>
      </c>
      <c r="K163" s="29"/>
      <c r="L163" s="29"/>
      <c r="M163" s="29"/>
      <c r="N163" s="29"/>
      <c r="O163" s="29"/>
      <c r="P163" s="29"/>
      <c r="Q163" s="29"/>
      <c r="R163" s="29"/>
      <c r="S163" s="40">
        <v>60000</v>
      </c>
      <c r="T163" s="29"/>
      <c r="U163" s="29"/>
      <c r="V163" s="29"/>
      <c r="W163" s="29">
        <f t="shared" si="21"/>
        <v>0</v>
      </c>
      <c r="X163" s="29"/>
      <c r="Y163" s="29">
        <f t="shared" si="23"/>
        <v>60000</v>
      </c>
    </row>
    <row r="164" spans="1:25" ht="49.5" customHeight="1" hidden="1">
      <c r="A164" s="295"/>
      <c r="B164" s="295"/>
      <c r="C164" s="295"/>
      <c r="D164" s="284"/>
      <c r="E164" s="43" t="s">
        <v>93</v>
      </c>
      <c r="F164" s="105">
        <f>J164</f>
        <v>0</v>
      </c>
      <c r="G164" s="114">
        <v>1</v>
      </c>
      <c r="H164" s="105">
        <f>J164</f>
        <v>0</v>
      </c>
      <c r="I164" s="222">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9">
        <f t="shared" si="23"/>
        <v>0</v>
      </c>
    </row>
    <row r="165" spans="1:25" ht="120.75" customHeight="1">
      <c r="A165" s="295"/>
      <c r="B165" s="295"/>
      <c r="C165" s="295"/>
      <c r="D165" s="284"/>
      <c r="E165" s="43" t="s">
        <v>674</v>
      </c>
      <c r="F165" s="105"/>
      <c r="G165" s="114"/>
      <c r="H165" s="105"/>
      <c r="I165" s="222">
        <v>3132</v>
      </c>
      <c r="J165" s="40">
        <v>412000</v>
      </c>
      <c r="K165" s="29"/>
      <c r="L165" s="29"/>
      <c r="M165" s="29"/>
      <c r="N165" s="29"/>
      <c r="O165" s="29"/>
      <c r="P165" s="29"/>
      <c r="Q165" s="29"/>
      <c r="R165" s="29"/>
      <c r="S165" s="29"/>
      <c r="T165" s="29">
        <f>412000</f>
        <v>412000</v>
      </c>
      <c r="U165" s="29"/>
      <c r="V165" s="29"/>
      <c r="W165" s="29">
        <f t="shared" si="24"/>
        <v>0</v>
      </c>
      <c r="X165" s="29"/>
      <c r="Y165" s="29">
        <f t="shared" si="23"/>
        <v>412000</v>
      </c>
    </row>
    <row r="166" spans="1:25" ht="114.75" customHeight="1">
      <c r="A166" s="295"/>
      <c r="B166" s="295"/>
      <c r="C166" s="295"/>
      <c r="D166" s="284"/>
      <c r="E166" s="43" t="s">
        <v>675</v>
      </c>
      <c r="F166" s="105"/>
      <c r="G166" s="114"/>
      <c r="H166" s="105"/>
      <c r="I166" s="222">
        <v>3132</v>
      </c>
      <c r="J166" s="40">
        <f>412000</f>
        <v>412000</v>
      </c>
      <c r="K166" s="29"/>
      <c r="L166" s="29"/>
      <c r="M166" s="29"/>
      <c r="N166" s="29"/>
      <c r="O166" s="29"/>
      <c r="P166" s="29"/>
      <c r="Q166" s="29"/>
      <c r="R166" s="29"/>
      <c r="S166" s="29"/>
      <c r="T166" s="29">
        <f>412000</f>
        <v>412000</v>
      </c>
      <c r="U166" s="29"/>
      <c r="V166" s="29"/>
      <c r="W166" s="29">
        <f t="shared" si="24"/>
        <v>0</v>
      </c>
      <c r="X166" s="29"/>
      <c r="Y166" s="29">
        <f t="shared" si="23"/>
        <v>412000</v>
      </c>
    </row>
    <row r="167" spans="1:25" ht="82.5" customHeight="1">
      <c r="A167" s="295"/>
      <c r="B167" s="295"/>
      <c r="C167" s="295"/>
      <c r="D167" s="284"/>
      <c r="E167" s="43" t="s">
        <v>115</v>
      </c>
      <c r="F167" s="105">
        <f aca="true" t="shared" si="25" ref="F167:F243">J167</f>
        <v>195000</v>
      </c>
      <c r="G167" s="114">
        <v>1</v>
      </c>
      <c r="H167" s="105">
        <f aca="true" t="shared" si="26" ref="H167:H243">J167</f>
        <v>195000</v>
      </c>
      <c r="I167" s="222">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9">
        <f t="shared" si="23"/>
        <v>5246</v>
      </c>
    </row>
    <row r="168" spans="1:25" ht="56.25">
      <c r="A168" s="295"/>
      <c r="B168" s="295"/>
      <c r="C168" s="295"/>
      <c r="D168" s="284"/>
      <c r="E168" s="43" t="s">
        <v>1216</v>
      </c>
      <c r="F168" s="105">
        <f t="shared" si="25"/>
        <v>45700</v>
      </c>
      <c r="G168" s="114">
        <v>1</v>
      </c>
      <c r="H168" s="105">
        <f t="shared" si="26"/>
        <v>45700</v>
      </c>
      <c r="I168" s="222">
        <v>3132</v>
      </c>
      <c r="J168" s="40">
        <v>45700</v>
      </c>
      <c r="K168" s="29"/>
      <c r="L168" s="29"/>
      <c r="M168" s="29">
        <v>45700</v>
      </c>
      <c r="N168" s="29"/>
      <c r="O168" s="29"/>
      <c r="P168" s="29"/>
      <c r="Q168" s="29"/>
      <c r="R168" s="29"/>
      <c r="S168" s="29"/>
      <c r="T168" s="29"/>
      <c r="U168" s="29"/>
      <c r="V168" s="29"/>
      <c r="W168" s="29">
        <f t="shared" si="24"/>
        <v>0</v>
      </c>
      <c r="X168" s="29">
        <f>43978-597.27</f>
        <v>43380.73</v>
      </c>
      <c r="Y168" s="29">
        <f t="shared" si="23"/>
        <v>2319.269999999997</v>
      </c>
    </row>
    <row r="169" spans="1:25" ht="131.25">
      <c r="A169" s="295"/>
      <c r="B169" s="295"/>
      <c r="C169" s="295"/>
      <c r="D169" s="284"/>
      <c r="E169" s="43" t="s">
        <v>676</v>
      </c>
      <c r="F169" s="105"/>
      <c r="G169" s="114"/>
      <c r="H169" s="105"/>
      <c r="I169" s="222">
        <v>3132</v>
      </c>
      <c r="J169" s="40">
        <f>412000</f>
        <v>412000</v>
      </c>
      <c r="K169" s="29"/>
      <c r="L169" s="29"/>
      <c r="M169" s="29"/>
      <c r="N169" s="29"/>
      <c r="O169" s="29"/>
      <c r="P169" s="29"/>
      <c r="Q169" s="29"/>
      <c r="R169" s="29"/>
      <c r="S169" s="29"/>
      <c r="T169" s="29">
        <f>412000</f>
        <v>412000</v>
      </c>
      <c r="U169" s="29"/>
      <c r="V169" s="29"/>
      <c r="W169" s="29">
        <f t="shared" si="24"/>
        <v>0</v>
      </c>
      <c r="X169" s="29"/>
      <c r="Y169" s="29">
        <f t="shared" si="23"/>
        <v>412000</v>
      </c>
    </row>
    <row r="170" spans="1:25" ht="112.5">
      <c r="A170" s="295"/>
      <c r="B170" s="295"/>
      <c r="C170" s="295"/>
      <c r="D170" s="284"/>
      <c r="E170" s="43" t="s">
        <v>677</v>
      </c>
      <c r="F170" s="105"/>
      <c r="G170" s="114"/>
      <c r="H170" s="105"/>
      <c r="I170" s="222">
        <v>3132</v>
      </c>
      <c r="J170" s="40">
        <f>412000</f>
        <v>412000</v>
      </c>
      <c r="K170" s="29"/>
      <c r="L170" s="29"/>
      <c r="M170" s="29"/>
      <c r="N170" s="29"/>
      <c r="O170" s="29"/>
      <c r="P170" s="29"/>
      <c r="Q170" s="29"/>
      <c r="R170" s="29"/>
      <c r="S170" s="29"/>
      <c r="T170" s="29">
        <f>412000</f>
        <v>412000</v>
      </c>
      <c r="U170" s="29"/>
      <c r="V170" s="29"/>
      <c r="W170" s="29">
        <f t="shared" si="24"/>
        <v>0</v>
      </c>
      <c r="X170" s="29"/>
      <c r="Y170" s="29">
        <f t="shared" si="23"/>
        <v>412000</v>
      </c>
    </row>
    <row r="171" spans="1:25" ht="56.25">
      <c r="A171" s="295"/>
      <c r="B171" s="295"/>
      <c r="C171" s="295"/>
      <c r="D171" s="284"/>
      <c r="E171" s="43" t="s">
        <v>364</v>
      </c>
      <c r="F171" s="105"/>
      <c r="G171" s="114"/>
      <c r="H171" s="105"/>
      <c r="I171" s="222">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9">
        <f t="shared" si="23"/>
        <v>0</v>
      </c>
    </row>
    <row r="172" spans="1:25" ht="37.5">
      <c r="A172" s="295"/>
      <c r="B172" s="295"/>
      <c r="C172" s="295"/>
      <c r="D172" s="284"/>
      <c r="E172" s="43" t="s">
        <v>724</v>
      </c>
      <c r="F172" s="105">
        <f t="shared" si="25"/>
        <v>2198000</v>
      </c>
      <c r="G172" s="114">
        <v>1</v>
      </c>
      <c r="H172" s="105">
        <f t="shared" si="26"/>
        <v>2198000</v>
      </c>
      <c r="I172" s="222">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9">
        <f t="shared" si="23"/>
        <v>189356.34000000003</v>
      </c>
    </row>
    <row r="173" spans="1:25" ht="56.25">
      <c r="A173" s="295"/>
      <c r="B173" s="295"/>
      <c r="C173" s="295"/>
      <c r="D173" s="284"/>
      <c r="E173" s="43" t="s">
        <v>725</v>
      </c>
      <c r="F173" s="105">
        <f t="shared" si="25"/>
        <v>155500</v>
      </c>
      <c r="G173" s="114">
        <v>1</v>
      </c>
      <c r="H173" s="105">
        <f t="shared" si="26"/>
        <v>155500</v>
      </c>
      <c r="I173" s="222">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9">
        <f t="shared" si="23"/>
        <v>45500</v>
      </c>
    </row>
    <row r="174" spans="1:25" ht="20.25" customHeight="1">
      <c r="A174" s="295"/>
      <c r="B174" s="295"/>
      <c r="C174" s="295"/>
      <c r="D174" s="284"/>
      <c r="E174" s="43" t="s">
        <v>726</v>
      </c>
      <c r="F174" s="105">
        <f t="shared" si="25"/>
        <v>500000</v>
      </c>
      <c r="G174" s="114">
        <v>1</v>
      </c>
      <c r="H174" s="105">
        <f t="shared" si="26"/>
        <v>500000</v>
      </c>
      <c r="I174" s="222">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9">
        <f t="shared" si="23"/>
        <v>0.03999999997904524</v>
      </c>
    </row>
    <row r="175" spans="1:25" ht="56.25">
      <c r="A175" s="295"/>
      <c r="B175" s="295"/>
      <c r="C175" s="295"/>
      <c r="D175" s="284"/>
      <c r="E175" s="43" t="s">
        <v>727</v>
      </c>
      <c r="F175" s="105">
        <f t="shared" si="25"/>
        <v>123800</v>
      </c>
      <c r="G175" s="114">
        <v>1</v>
      </c>
      <c r="H175" s="105">
        <f t="shared" si="26"/>
        <v>123800</v>
      </c>
      <c r="I175" s="222">
        <v>3132</v>
      </c>
      <c r="J175" s="40">
        <v>123800</v>
      </c>
      <c r="K175" s="29"/>
      <c r="L175" s="29"/>
      <c r="M175" s="29"/>
      <c r="N175" s="29"/>
      <c r="O175" s="29"/>
      <c r="P175" s="29">
        <v>63800</v>
      </c>
      <c r="Q175" s="29"/>
      <c r="R175" s="29"/>
      <c r="S175" s="29"/>
      <c r="T175" s="29">
        <v>60000</v>
      </c>
      <c r="U175" s="29"/>
      <c r="V175" s="29"/>
      <c r="W175" s="29">
        <f t="shared" si="24"/>
        <v>0</v>
      </c>
      <c r="X175" s="29">
        <f>61887.5+61887.5</f>
        <v>123775</v>
      </c>
      <c r="Y175" s="29">
        <f t="shared" si="23"/>
        <v>25</v>
      </c>
    </row>
    <row r="176" spans="1:25" ht="18" hidden="1">
      <c r="A176" s="295"/>
      <c r="B176" s="295"/>
      <c r="C176" s="295"/>
      <c r="D176" s="284"/>
      <c r="E176" s="43" t="s">
        <v>1154</v>
      </c>
      <c r="F176" s="105">
        <f t="shared" si="25"/>
        <v>0</v>
      </c>
      <c r="G176" s="114">
        <v>1</v>
      </c>
      <c r="H176" s="105">
        <f t="shared" si="26"/>
        <v>0</v>
      </c>
      <c r="I176" s="222">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9">
        <f t="shared" si="23"/>
        <v>2.3305801732931286E-12</v>
      </c>
    </row>
    <row r="177" spans="1:25" ht="112.5">
      <c r="A177" s="295"/>
      <c r="B177" s="295"/>
      <c r="C177" s="295"/>
      <c r="D177" s="284"/>
      <c r="E177" s="43" t="s">
        <v>690</v>
      </c>
      <c r="F177" s="105">
        <f t="shared" si="25"/>
        <v>412000</v>
      </c>
      <c r="G177" s="114"/>
      <c r="H177" s="105">
        <f t="shared" si="26"/>
        <v>412000</v>
      </c>
      <c r="I177" s="222">
        <v>3132</v>
      </c>
      <c r="J177" s="40">
        <f>412000</f>
        <v>412000</v>
      </c>
      <c r="K177" s="29"/>
      <c r="L177" s="29"/>
      <c r="M177" s="29"/>
      <c r="N177" s="29"/>
      <c r="O177" s="29"/>
      <c r="P177" s="29"/>
      <c r="Q177" s="29"/>
      <c r="R177" s="29"/>
      <c r="S177" s="29">
        <f>412000</f>
        <v>412000</v>
      </c>
      <c r="T177" s="29"/>
      <c r="U177" s="29"/>
      <c r="V177" s="29"/>
      <c r="W177" s="29">
        <f t="shared" si="24"/>
        <v>0</v>
      </c>
      <c r="X177" s="29"/>
      <c r="Y177" s="29">
        <f t="shared" si="23"/>
        <v>412000</v>
      </c>
    </row>
    <row r="178" spans="1:25" ht="131.25">
      <c r="A178" s="295"/>
      <c r="B178" s="295"/>
      <c r="C178" s="295"/>
      <c r="D178" s="284"/>
      <c r="E178" s="43" t="s">
        <v>684</v>
      </c>
      <c r="F178" s="105"/>
      <c r="G178" s="114"/>
      <c r="H178" s="105"/>
      <c r="I178" s="222">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9">
        <f>K178+L178+M178+N178+O178+P178+Q178+R178+S178+T178-X178</f>
        <v>412000</v>
      </c>
    </row>
    <row r="179" spans="1:25" ht="131.25">
      <c r="A179" s="295"/>
      <c r="B179" s="295"/>
      <c r="C179" s="295"/>
      <c r="D179" s="284"/>
      <c r="E179" s="43" t="s">
        <v>678</v>
      </c>
      <c r="F179" s="105"/>
      <c r="G179" s="114"/>
      <c r="H179" s="105"/>
      <c r="I179" s="222">
        <v>3132</v>
      </c>
      <c r="J179" s="40">
        <f>412000</f>
        <v>412000</v>
      </c>
      <c r="K179" s="29"/>
      <c r="L179" s="29"/>
      <c r="M179" s="29"/>
      <c r="N179" s="29"/>
      <c r="O179" s="29"/>
      <c r="P179" s="29"/>
      <c r="Q179" s="29"/>
      <c r="R179" s="29"/>
      <c r="S179" s="29"/>
      <c r="T179" s="29">
        <f>412000</f>
        <v>412000</v>
      </c>
      <c r="U179" s="29"/>
      <c r="V179" s="29"/>
      <c r="W179" s="29">
        <f t="shared" si="24"/>
        <v>0</v>
      </c>
      <c r="X179" s="29"/>
      <c r="Y179" s="29">
        <f t="shared" si="23"/>
        <v>412000</v>
      </c>
    </row>
    <row r="180" spans="1:25" ht="41.25" customHeight="1">
      <c r="A180" s="295"/>
      <c r="B180" s="295"/>
      <c r="C180" s="295"/>
      <c r="D180" s="284"/>
      <c r="E180" s="43" t="s">
        <v>360</v>
      </c>
      <c r="F180" s="105">
        <f t="shared" si="25"/>
        <v>380000</v>
      </c>
      <c r="G180" s="114">
        <v>1</v>
      </c>
      <c r="H180" s="105">
        <f t="shared" si="26"/>
        <v>380000</v>
      </c>
      <c r="I180" s="222">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f>
        <v>334170.11000000004</v>
      </c>
      <c r="Y180" s="29">
        <f t="shared" si="23"/>
        <v>18829.889999999956</v>
      </c>
    </row>
    <row r="181" spans="1:25" ht="37.5">
      <c r="A181" s="295"/>
      <c r="B181" s="295"/>
      <c r="C181" s="295"/>
      <c r="D181" s="284"/>
      <c r="E181" s="43" t="s">
        <v>361</v>
      </c>
      <c r="F181" s="105">
        <f t="shared" si="25"/>
        <v>410000</v>
      </c>
      <c r="G181" s="114">
        <v>1</v>
      </c>
      <c r="H181" s="105">
        <f t="shared" si="26"/>
        <v>410000</v>
      </c>
      <c r="I181" s="222">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2311.2+120318.43</f>
        <v>122629.62999999999</v>
      </c>
      <c r="Y181" s="29">
        <f t="shared" si="23"/>
        <v>217370.37</v>
      </c>
    </row>
    <row r="182" spans="1:25" ht="131.25">
      <c r="A182" s="295"/>
      <c r="B182" s="295"/>
      <c r="C182" s="295"/>
      <c r="D182" s="284"/>
      <c r="E182" s="186" t="s">
        <v>422</v>
      </c>
      <c r="F182" s="198">
        <f t="shared" si="25"/>
        <v>768000</v>
      </c>
      <c r="G182" s="199"/>
      <c r="H182" s="198">
        <f t="shared" si="26"/>
        <v>768000</v>
      </c>
      <c r="I182" s="229">
        <v>3132</v>
      </c>
      <c r="J182" s="200">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9">
        <f t="shared" si="23"/>
        <v>226155.60000000003</v>
      </c>
    </row>
    <row r="183" spans="1:25" ht="100.5" customHeight="1">
      <c r="A183" s="295"/>
      <c r="B183" s="295"/>
      <c r="C183" s="295"/>
      <c r="D183" s="284"/>
      <c r="E183" s="194" t="s">
        <v>974</v>
      </c>
      <c r="F183" s="201">
        <f t="shared" si="25"/>
        <v>320000</v>
      </c>
      <c r="G183" s="202">
        <v>1</v>
      </c>
      <c r="H183" s="201">
        <f t="shared" si="26"/>
        <v>320000</v>
      </c>
      <c r="I183" s="230">
        <v>3132</v>
      </c>
      <c r="J183" s="203">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9">
        <f t="shared" si="23"/>
        <v>292000</v>
      </c>
    </row>
    <row r="184" spans="1:25" ht="56.25">
      <c r="A184" s="295"/>
      <c r="B184" s="295"/>
      <c r="C184" s="295"/>
      <c r="D184" s="284"/>
      <c r="E184" s="43" t="s">
        <v>770</v>
      </c>
      <c r="F184" s="105">
        <f t="shared" si="25"/>
        <v>500000</v>
      </c>
      <c r="G184" s="114">
        <v>1</v>
      </c>
      <c r="H184" s="105">
        <f t="shared" si="26"/>
        <v>500000</v>
      </c>
      <c r="I184" s="222">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247405.2+106243.07</f>
        <v>353648.27</v>
      </c>
      <c r="Y184" s="29">
        <f t="shared" si="23"/>
        <v>21351.72999999998</v>
      </c>
    </row>
    <row r="185" spans="1:25" ht="56.25">
      <c r="A185" s="295"/>
      <c r="B185" s="295"/>
      <c r="C185" s="295"/>
      <c r="D185" s="284"/>
      <c r="E185" s="43" t="s">
        <v>639</v>
      </c>
      <c r="F185" s="105">
        <f t="shared" si="25"/>
        <v>250000</v>
      </c>
      <c r="G185" s="114"/>
      <c r="H185" s="105">
        <f t="shared" si="26"/>
        <v>250000</v>
      </c>
      <c r="I185" s="222">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9">
        <f t="shared" si="23"/>
        <v>32753.47999999998</v>
      </c>
    </row>
    <row r="186" spans="1:25" ht="56.25">
      <c r="A186" s="295"/>
      <c r="B186" s="295"/>
      <c r="C186" s="295"/>
      <c r="D186" s="284"/>
      <c r="E186" s="43" t="s">
        <v>1114</v>
      </c>
      <c r="F186" s="105">
        <f t="shared" si="25"/>
        <v>50000</v>
      </c>
      <c r="G186" s="114">
        <v>1</v>
      </c>
      <c r="H186" s="105">
        <f t="shared" si="26"/>
        <v>50000</v>
      </c>
      <c r="I186" s="222">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c r="Y186" s="29">
        <f t="shared" si="23"/>
        <v>50000</v>
      </c>
    </row>
    <row r="187" spans="1:25" ht="36" hidden="1">
      <c r="A187" s="295"/>
      <c r="B187" s="295"/>
      <c r="C187" s="295"/>
      <c r="D187" s="284"/>
      <c r="E187" s="43" t="s">
        <v>311</v>
      </c>
      <c r="F187" s="105">
        <f t="shared" si="25"/>
        <v>0</v>
      </c>
      <c r="G187" s="114">
        <v>1</v>
      </c>
      <c r="H187" s="105">
        <f t="shared" si="26"/>
        <v>0</v>
      </c>
      <c r="I187" s="222">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9">
        <f t="shared" si="23"/>
        <v>0</v>
      </c>
    </row>
    <row r="188" spans="1:25" ht="37.5">
      <c r="A188" s="295"/>
      <c r="B188" s="295"/>
      <c r="C188" s="295"/>
      <c r="D188" s="284"/>
      <c r="E188" s="43" t="s">
        <v>615</v>
      </c>
      <c r="F188" s="105">
        <f t="shared" si="25"/>
        <v>700000</v>
      </c>
      <c r="G188" s="114"/>
      <c r="H188" s="105">
        <f t="shared" si="26"/>
        <v>700000</v>
      </c>
      <c r="I188" s="222">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f>332112.29+31309.2</f>
        <v>363421.49</v>
      </c>
      <c r="Y188" s="29">
        <f t="shared" si="23"/>
        <v>286578.51</v>
      </c>
    </row>
    <row r="189" spans="1:25" ht="56.25">
      <c r="A189" s="295"/>
      <c r="B189" s="295"/>
      <c r="C189" s="295"/>
      <c r="D189" s="284"/>
      <c r="E189" s="43" t="s">
        <v>994</v>
      </c>
      <c r="F189" s="105"/>
      <c r="G189" s="114"/>
      <c r="H189" s="105"/>
      <c r="I189" s="222">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9">
        <f t="shared" si="23"/>
        <v>110000</v>
      </c>
    </row>
    <row r="190" spans="1:25" ht="37.5">
      <c r="A190" s="295"/>
      <c r="B190" s="295"/>
      <c r="C190" s="295"/>
      <c r="D190" s="284"/>
      <c r="E190" s="43" t="s">
        <v>303</v>
      </c>
      <c r="F190" s="105">
        <f t="shared" si="25"/>
        <v>600000</v>
      </c>
      <c r="G190" s="114">
        <v>1</v>
      </c>
      <c r="H190" s="105">
        <f t="shared" si="26"/>
        <v>600000</v>
      </c>
      <c r="I190" s="222">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c r="Y190" s="29">
        <f t="shared" si="23"/>
        <v>280000</v>
      </c>
    </row>
    <row r="191" spans="1:25" ht="56.25">
      <c r="A191" s="295"/>
      <c r="B191" s="295"/>
      <c r="C191" s="295"/>
      <c r="D191" s="284"/>
      <c r="E191" s="43" t="s">
        <v>254</v>
      </c>
      <c r="F191" s="105">
        <f t="shared" si="25"/>
        <v>40000</v>
      </c>
      <c r="G191" s="114">
        <v>1</v>
      </c>
      <c r="H191" s="105">
        <f t="shared" si="26"/>
        <v>40000</v>
      </c>
      <c r="I191" s="222">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9">
        <f t="shared" si="23"/>
        <v>0</v>
      </c>
    </row>
    <row r="192" spans="1:25" ht="37.5">
      <c r="A192" s="295"/>
      <c r="B192" s="295"/>
      <c r="C192" s="295"/>
      <c r="D192" s="284"/>
      <c r="E192" s="43" t="s">
        <v>257</v>
      </c>
      <c r="F192" s="105">
        <f t="shared" si="25"/>
        <v>280000</v>
      </c>
      <c r="G192" s="114">
        <v>1</v>
      </c>
      <c r="H192" s="105">
        <f t="shared" si="26"/>
        <v>280000</v>
      </c>
      <c r="I192" s="222">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9">
        <f t="shared" si="23"/>
        <v>50000</v>
      </c>
    </row>
    <row r="193" spans="1:25" ht="36" hidden="1">
      <c r="A193" s="295"/>
      <c r="B193" s="295"/>
      <c r="C193" s="295"/>
      <c r="D193" s="284"/>
      <c r="E193" s="43" t="s">
        <v>258</v>
      </c>
      <c r="F193" s="105">
        <f t="shared" si="25"/>
        <v>0</v>
      </c>
      <c r="G193" s="114">
        <v>1</v>
      </c>
      <c r="H193" s="105">
        <f t="shared" si="26"/>
        <v>0</v>
      </c>
      <c r="I193" s="222">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9">
        <f t="shared" si="23"/>
        <v>0</v>
      </c>
    </row>
    <row r="194" spans="1:25" ht="75">
      <c r="A194" s="295"/>
      <c r="B194" s="295"/>
      <c r="C194" s="295"/>
      <c r="D194" s="284"/>
      <c r="E194" s="43" t="s">
        <v>1090</v>
      </c>
      <c r="F194" s="105"/>
      <c r="G194" s="114"/>
      <c r="H194" s="105"/>
      <c r="I194" s="222">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9">
        <f t="shared" si="23"/>
        <v>65550</v>
      </c>
    </row>
    <row r="195" spans="1:25" ht="37.5">
      <c r="A195" s="295"/>
      <c r="B195" s="295"/>
      <c r="C195" s="295"/>
      <c r="D195" s="284"/>
      <c r="E195" s="43" t="s">
        <v>1084</v>
      </c>
      <c r="F195" s="105">
        <f t="shared" si="25"/>
        <v>900000</v>
      </c>
      <c r="G195" s="114">
        <v>1</v>
      </c>
      <c r="H195" s="105">
        <f t="shared" si="26"/>
        <v>900000</v>
      </c>
      <c r="I195" s="222">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9">
        <f t="shared" si="23"/>
        <v>85426</v>
      </c>
    </row>
    <row r="196" spans="1:25" ht="37.5">
      <c r="A196" s="295"/>
      <c r="B196" s="295"/>
      <c r="C196" s="295"/>
      <c r="D196" s="284"/>
      <c r="E196" s="43" t="s">
        <v>373</v>
      </c>
      <c r="F196" s="105">
        <f t="shared" si="25"/>
        <v>800000</v>
      </c>
      <c r="G196" s="114">
        <v>1</v>
      </c>
      <c r="H196" s="105">
        <f t="shared" si="26"/>
        <v>800000</v>
      </c>
      <c r="I196" s="222">
        <v>3132</v>
      </c>
      <c r="J196" s="40">
        <f>500000+300000</f>
        <v>800000</v>
      </c>
      <c r="K196" s="29"/>
      <c r="L196" s="29"/>
      <c r="M196" s="29">
        <v>20000</v>
      </c>
      <c r="N196" s="29"/>
      <c r="O196" s="29"/>
      <c r="P196" s="29">
        <v>-20000</v>
      </c>
      <c r="Q196" s="29">
        <f>150000+20000-170000</f>
        <v>0</v>
      </c>
      <c r="R196" s="29">
        <f>150000+90000</f>
        <v>240000</v>
      </c>
      <c r="S196" s="29"/>
      <c r="T196" s="29">
        <f>80000+110000-180000</f>
        <v>10000</v>
      </c>
      <c r="U196" s="29"/>
      <c r="V196" s="29">
        <f>100000+170000+100000+180000</f>
        <v>550000</v>
      </c>
      <c r="W196" s="29">
        <f t="shared" si="24"/>
        <v>0</v>
      </c>
      <c r="X196" s="29"/>
      <c r="Y196" s="29">
        <f t="shared" si="23"/>
        <v>250000</v>
      </c>
    </row>
    <row r="197" spans="1:25" ht="37.5">
      <c r="A197" s="295"/>
      <c r="B197" s="295"/>
      <c r="C197" s="295"/>
      <c r="D197" s="284"/>
      <c r="E197" s="43" t="s">
        <v>991</v>
      </c>
      <c r="F197" s="105"/>
      <c r="G197" s="114"/>
      <c r="H197" s="105"/>
      <c r="I197" s="222">
        <v>3132</v>
      </c>
      <c r="J197" s="40">
        <v>300000</v>
      </c>
      <c r="K197" s="29"/>
      <c r="L197" s="29"/>
      <c r="M197" s="29"/>
      <c r="N197" s="29"/>
      <c r="O197" s="29"/>
      <c r="P197" s="29"/>
      <c r="Q197" s="29"/>
      <c r="R197" s="29"/>
      <c r="S197" s="29"/>
      <c r="T197" s="29"/>
      <c r="U197" s="29"/>
      <c r="V197" s="29">
        <v>300000</v>
      </c>
      <c r="W197" s="29">
        <f t="shared" si="24"/>
        <v>0</v>
      </c>
      <c r="X197" s="29"/>
      <c r="Y197" s="29">
        <f t="shared" si="23"/>
        <v>0</v>
      </c>
    </row>
    <row r="198" spans="1:25" ht="75">
      <c r="A198" s="295"/>
      <c r="B198" s="295"/>
      <c r="C198" s="295"/>
      <c r="D198" s="284"/>
      <c r="E198" s="43" t="s">
        <v>1109</v>
      </c>
      <c r="F198" s="105">
        <f t="shared" si="25"/>
        <v>250000</v>
      </c>
      <c r="G198" s="114"/>
      <c r="H198" s="105">
        <f t="shared" si="26"/>
        <v>250000</v>
      </c>
      <c r="I198" s="222">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9">
        <f t="shared" si="23"/>
        <v>231</v>
      </c>
    </row>
    <row r="199" spans="1:25" ht="75">
      <c r="A199" s="295"/>
      <c r="B199" s="295"/>
      <c r="C199" s="295"/>
      <c r="D199" s="284"/>
      <c r="E199" s="43" t="s">
        <v>777</v>
      </c>
      <c r="F199" s="105">
        <f t="shared" si="25"/>
        <v>2730000</v>
      </c>
      <c r="G199" s="114">
        <v>1</v>
      </c>
      <c r="H199" s="105">
        <f t="shared" si="26"/>
        <v>2730000</v>
      </c>
      <c r="I199" s="222">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9">
        <f t="shared" si="23"/>
        <v>100180.25999999978</v>
      </c>
    </row>
    <row r="200" spans="1:25" ht="56.25">
      <c r="A200" s="295"/>
      <c r="B200" s="295"/>
      <c r="C200" s="295"/>
      <c r="D200" s="284"/>
      <c r="E200" s="43" t="s">
        <v>1146</v>
      </c>
      <c r="F200" s="105">
        <f t="shared" si="25"/>
        <v>117200</v>
      </c>
      <c r="G200" s="114">
        <v>1</v>
      </c>
      <c r="H200" s="105">
        <f t="shared" si="26"/>
        <v>117200</v>
      </c>
      <c r="I200" s="222">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9">
        <f t="shared" si="23"/>
        <v>51808.8</v>
      </c>
    </row>
    <row r="201" spans="1:25" ht="75">
      <c r="A201" s="295"/>
      <c r="B201" s="295"/>
      <c r="C201" s="295"/>
      <c r="D201" s="284"/>
      <c r="E201" s="43" t="s">
        <v>280</v>
      </c>
      <c r="F201" s="105">
        <f t="shared" si="25"/>
        <v>670650</v>
      </c>
      <c r="G201" s="114">
        <v>1</v>
      </c>
      <c r="H201" s="105">
        <f t="shared" si="26"/>
        <v>670650</v>
      </c>
      <c r="I201" s="222">
        <v>3132</v>
      </c>
      <c r="J201" s="40">
        <f>659650+11000</f>
        <v>670650</v>
      </c>
      <c r="K201" s="29"/>
      <c r="L201" s="29"/>
      <c r="M201" s="29">
        <v>25000</v>
      </c>
      <c r="N201" s="29"/>
      <c r="O201" s="29">
        <v>-25000</v>
      </c>
      <c r="P201" s="29">
        <f>50000+11000-61000</f>
        <v>0</v>
      </c>
      <c r="Q201" s="29">
        <f>34650+61000-55000</f>
        <v>40650</v>
      </c>
      <c r="R201" s="29">
        <v>250000</v>
      </c>
      <c r="S201" s="29"/>
      <c r="T201" s="29">
        <f>300000-190000</f>
        <v>110000</v>
      </c>
      <c r="U201" s="29">
        <f>25000+29000</f>
        <v>54000</v>
      </c>
      <c r="V201" s="29">
        <f>55000+161000</f>
        <v>216000</v>
      </c>
      <c r="W201" s="29">
        <f t="shared" si="24"/>
        <v>0</v>
      </c>
      <c r="X201" s="29">
        <f>4102.8+36500+250000+103499</f>
        <v>394101.8</v>
      </c>
      <c r="Y201" s="29">
        <f t="shared" si="23"/>
        <v>6548.200000000012</v>
      </c>
    </row>
    <row r="202" spans="1:25" ht="37.5">
      <c r="A202" s="295"/>
      <c r="B202" s="295"/>
      <c r="C202" s="295"/>
      <c r="D202" s="284"/>
      <c r="E202" s="43" t="s">
        <v>281</v>
      </c>
      <c r="F202" s="105">
        <f t="shared" si="25"/>
        <v>76800</v>
      </c>
      <c r="G202" s="114">
        <v>1</v>
      </c>
      <c r="H202" s="105">
        <f t="shared" si="26"/>
        <v>76800</v>
      </c>
      <c r="I202" s="222">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9">
        <f t="shared" si="23"/>
        <v>76800</v>
      </c>
    </row>
    <row r="203" spans="1:25" ht="56.25">
      <c r="A203" s="295"/>
      <c r="B203" s="295"/>
      <c r="C203" s="295"/>
      <c r="D203" s="284"/>
      <c r="E203" s="43" t="s">
        <v>463</v>
      </c>
      <c r="F203" s="105"/>
      <c r="G203" s="114"/>
      <c r="H203" s="105"/>
      <c r="I203" s="222">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9">
        <f t="shared" si="23"/>
        <v>3284</v>
      </c>
    </row>
    <row r="204" spans="1:25" ht="37.5">
      <c r="A204" s="295"/>
      <c r="B204" s="295"/>
      <c r="C204" s="295"/>
      <c r="D204" s="284"/>
      <c r="E204" s="43" t="s">
        <v>395</v>
      </c>
      <c r="F204" s="105"/>
      <c r="G204" s="114"/>
      <c r="H204" s="105"/>
      <c r="I204" s="222">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9">
        <f t="shared" si="23"/>
        <v>49634.5</v>
      </c>
    </row>
    <row r="205" spans="1:25" ht="131.25">
      <c r="A205" s="295"/>
      <c r="B205" s="295"/>
      <c r="C205" s="295"/>
      <c r="D205" s="284"/>
      <c r="E205" s="43" t="s">
        <v>679</v>
      </c>
      <c r="F205" s="105"/>
      <c r="G205" s="114"/>
      <c r="H205" s="105"/>
      <c r="I205" s="222">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9">
        <f t="shared" si="23"/>
        <v>412000</v>
      </c>
    </row>
    <row r="206" spans="1:25" ht="37.5">
      <c r="A206" s="295"/>
      <c r="B206" s="295"/>
      <c r="C206" s="295"/>
      <c r="D206" s="284"/>
      <c r="E206" s="43" t="s">
        <v>993</v>
      </c>
      <c r="F206" s="105"/>
      <c r="G206" s="114"/>
      <c r="H206" s="105"/>
      <c r="I206" s="222">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9">
        <f t="shared" si="23"/>
        <v>0</v>
      </c>
    </row>
    <row r="207" spans="1:25" ht="131.25">
      <c r="A207" s="295"/>
      <c r="B207" s="295"/>
      <c r="C207" s="295"/>
      <c r="D207" s="284"/>
      <c r="E207" s="43" t="s">
        <v>680</v>
      </c>
      <c r="F207" s="105"/>
      <c r="G207" s="114"/>
      <c r="H207" s="105"/>
      <c r="I207" s="222">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9">
        <f t="shared" si="23"/>
        <v>412000</v>
      </c>
    </row>
    <row r="208" spans="1:25" ht="37.5">
      <c r="A208" s="295"/>
      <c r="B208" s="295"/>
      <c r="C208" s="295"/>
      <c r="D208" s="284"/>
      <c r="E208" s="43" t="s">
        <v>1229</v>
      </c>
      <c r="F208" s="105">
        <f t="shared" si="25"/>
        <v>200000</v>
      </c>
      <c r="G208" s="114">
        <v>1</v>
      </c>
      <c r="H208" s="105">
        <f t="shared" si="26"/>
        <v>200000</v>
      </c>
      <c r="I208" s="222">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80000+19235.22+40000</f>
        <v>139235.22</v>
      </c>
      <c r="Y208" s="29">
        <f t="shared" si="23"/>
        <v>764.7799999999988</v>
      </c>
    </row>
    <row r="209" spans="1:25" ht="56.25">
      <c r="A209" s="295"/>
      <c r="B209" s="295"/>
      <c r="C209" s="295"/>
      <c r="D209" s="284"/>
      <c r="E209" s="43" t="s">
        <v>58</v>
      </c>
      <c r="F209" s="105">
        <f t="shared" si="25"/>
        <v>900000</v>
      </c>
      <c r="G209" s="114">
        <v>1</v>
      </c>
      <c r="H209" s="105">
        <f t="shared" si="26"/>
        <v>900000</v>
      </c>
      <c r="I209" s="222">
        <v>3132</v>
      </c>
      <c r="J209" s="40">
        <v>900000</v>
      </c>
      <c r="K209" s="29"/>
      <c r="L209" s="29"/>
      <c r="M209" s="29"/>
      <c r="N209" s="29"/>
      <c r="O209" s="29"/>
      <c r="P209" s="29">
        <v>50000</v>
      </c>
      <c r="Q209" s="29">
        <f>125000+275000</f>
        <v>400000</v>
      </c>
      <c r="R209" s="29">
        <f>275000-275000</f>
        <v>0</v>
      </c>
      <c r="S209" s="29"/>
      <c r="T209" s="29">
        <f>395000</f>
        <v>395000</v>
      </c>
      <c r="U209" s="29">
        <f>300000-300000</f>
        <v>0</v>
      </c>
      <c r="V209" s="29">
        <f>150000-95000</f>
        <v>55000</v>
      </c>
      <c r="W209" s="29">
        <f t="shared" si="24"/>
        <v>0</v>
      </c>
      <c r="X209" s="29">
        <f>439538.82+3840+394819.63</f>
        <v>838198.45</v>
      </c>
      <c r="Y209" s="29">
        <f t="shared" si="23"/>
        <v>6801.550000000047</v>
      </c>
    </row>
    <row r="210" spans="1:25" ht="42" customHeight="1" hidden="1">
      <c r="A210" s="295"/>
      <c r="B210" s="295"/>
      <c r="C210" s="295"/>
      <c r="D210" s="284"/>
      <c r="E210" s="43" t="s">
        <v>1122</v>
      </c>
      <c r="F210" s="105">
        <f t="shared" si="25"/>
        <v>0</v>
      </c>
      <c r="G210" s="114">
        <v>1</v>
      </c>
      <c r="H210" s="105">
        <f t="shared" si="26"/>
        <v>0</v>
      </c>
      <c r="I210" s="222">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9">
        <f t="shared" si="23"/>
        <v>0</v>
      </c>
    </row>
    <row r="211" spans="1:25" ht="36" hidden="1">
      <c r="A211" s="295"/>
      <c r="B211" s="295"/>
      <c r="C211" s="295"/>
      <c r="D211" s="284"/>
      <c r="E211" s="43" t="s">
        <v>1100</v>
      </c>
      <c r="F211" s="105">
        <f t="shared" si="25"/>
        <v>0</v>
      </c>
      <c r="G211" s="114">
        <v>1</v>
      </c>
      <c r="H211" s="105">
        <f t="shared" si="26"/>
        <v>0</v>
      </c>
      <c r="I211" s="222">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9">
        <f t="shared" si="23"/>
        <v>0</v>
      </c>
    </row>
    <row r="212" spans="1:25" ht="37.5">
      <c r="A212" s="295"/>
      <c r="B212" s="295"/>
      <c r="C212" s="295"/>
      <c r="D212" s="284"/>
      <c r="E212" s="43" t="s">
        <v>497</v>
      </c>
      <c r="F212" s="105"/>
      <c r="G212" s="114"/>
      <c r="H212" s="105"/>
      <c r="I212" s="222">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9">
        <f t="shared" si="23"/>
        <v>10000</v>
      </c>
    </row>
    <row r="213" spans="1:25" ht="44.25" customHeight="1">
      <c r="A213" s="295"/>
      <c r="B213" s="295"/>
      <c r="C213" s="295"/>
      <c r="D213" s="284"/>
      <c r="E213" s="43" t="s">
        <v>1249</v>
      </c>
      <c r="F213" s="105">
        <f t="shared" si="25"/>
        <v>300000</v>
      </c>
      <c r="G213" s="114">
        <v>1</v>
      </c>
      <c r="H213" s="105">
        <f t="shared" si="26"/>
        <v>300000</v>
      </c>
      <c r="I213" s="222">
        <v>3132</v>
      </c>
      <c r="J213" s="40">
        <f>350000-50000</f>
        <v>300000</v>
      </c>
      <c r="K213" s="29"/>
      <c r="L213" s="29"/>
      <c r="M213" s="29">
        <v>20000</v>
      </c>
      <c r="N213" s="29"/>
      <c r="O213" s="29">
        <v>-20000</v>
      </c>
      <c r="P213" s="29"/>
      <c r="Q213" s="29">
        <v>120000</v>
      </c>
      <c r="R213" s="29">
        <f>60000-180000</f>
        <v>-120000</v>
      </c>
      <c r="S213" s="29"/>
      <c r="T213" s="29">
        <f>150000+180000-50000-209000</f>
        <v>71000</v>
      </c>
      <c r="U213" s="29">
        <f>20000+209000</f>
        <v>229000</v>
      </c>
      <c r="V213" s="29"/>
      <c r="W213" s="29">
        <f t="shared" si="24"/>
        <v>0</v>
      </c>
      <c r="X213" s="29"/>
      <c r="Y213" s="29">
        <f t="shared" si="23"/>
        <v>71000</v>
      </c>
    </row>
    <row r="214" spans="1:25" ht="42" customHeight="1" hidden="1">
      <c r="A214" s="295"/>
      <c r="B214" s="295"/>
      <c r="C214" s="295"/>
      <c r="D214" s="284"/>
      <c r="E214" s="43" t="s">
        <v>294</v>
      </c>
      <c r="F214" s="105">
        <f t="shared" si="25"/>
        <v>0</v>
      </c>
      <c r="G214" s="114">
        <v>1</v>
      </c>
      <c r="H214" s="105">
        <f t="shared" si="26"/>
        <v>0</v>
      </c>
      <c r="I214" s="222">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9">
        <f t="shared" si="23"/>
        <v>0</v>
      </c>
    </row>
    <row r="215" spans="1:25" ht="36" hidden="1">
      <c r="A215" s="295"/>
      <c r="B215" s="295"/>
      <c r="C215" s="295"/>
      <c r="D215" s="284"/>
      <c r="E215" s="43" t="s">
        <v>295</v>
      </c>
      <c r="F215" s="105">
        <f t="shared" si="25"/>
        <v>0</v>
      </c>
      <c r="G215" s="114">
        <v>1</v>
      </c>
      <c r="H215" s="105">
        <f t="shared" si="26"/>
        <v>0</v>
      </c>
      <c r="I215" s="222">
        <v>3132</v>
      </c>
      <c r="J215" s="40">
        <f>90000-90000</f>
        <v>0</v>
      </c>
      <c r="K215" s="29"/>
      <c r="L215" s="29"/>
      <c r="M215" s="29"/>
      <c r="N215" s="29"/>
      <c r="O215" s="29"/>
      <c r="P215" s="29"/>
      <c r="Q215" s="29"/>
      <c r="R215" s="29"/>
      <c r="S215" s="29"/>
      <c r="T215" s="29">
        <f>90000-90000</f>
        <v>0</v>
      </c>
      <c r="U215" s="29"/>
      <c r="V215" s="29"/>
      <c r="W215" s="29">
        <f t="shared" si="24"/>
        <v>0</v>
      </c>
      <c r="X215" s="29"/>
      <c r="Y215" s="29">
        <f t="shared" si="23"/>
        <v>0</v>
      </c>
    </row>
    <row r="216" spans="1:25" ht="93.75">
      <c r="A216" s="295"/>
      <c r="B216" s="295"/>
      <c r="C216" s="295"/>
      <c r="D216" s="284"/>
      <c r="E216" s="194" t="s">
        <v>719</v>
      </c>
      <c r="F216" s="201">
        <f t="shared" si="25"/>
        <v>1195198.58</v>
      </c>
      <c r="G216" s="202">
        <v>1</v>
      </c>
      <c r="H216" s="201">
        <f t="shared" si="26"/>
        <v>1195198.58</v>
      </c>
      <c r="I216" s="230">
        <v>3132</v>
      </c>
      <c r="J216" s="203">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9">
        <f t="shared" si="23"/>
        <v>63535.50000000023</v>
      </c>
    </row>
    <row r="217" spans="1:25" ht="37.5">
      <c r="A217" s="295"/>
      <c r="B217" s="295"/>
      <c r="C217" s="295"/>
      <c r="D217" s="284"/>
      <c r="E217" s="43" t="s">
        <v>758</v>
      </c>
      <c r="F217" s="105">
        <f t="shared" si="25"/>
        <v>1000000</v>
      </c>
      <c r="G217" s="114">
        <v>1</v>
      </c>
      <c r="H217" s="105">
        <f t="shared" si="26"/>
        <v>1000000</v>
      </c>
      <c r="I217" s="222">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c r="Y217" s="29">
        <f t="shared" si="23"/>
        <v>200000</v>
      </c>
    </row>
    <row r="218" spans="1:25" ht="56.25">
      <c r="A218" s="295"/>
      <c r="B218" s="295"/>
      <c r="C218" s="295"/>
      <c r="D218" s="284"/>
      <c r="E218" s="43" t="s">
        <v>759</v>
      </c>
      <c r="F218" s="105">
        <f t="shared" si="25"/>
        <v>2120000</v>
      </c>
      <c r="G218" s="114">
        <v>1</v>
      </c>
      <c r="H218" s="105">
        <f t="shared" si="26"/>
        <v>2120000</v>
      </c>
      <c r="I218" s="222">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9">
        <f t="shared" si="23"/>
        <v>200000</v>
      </c>
    </row>
    <row r="219" spans="1:25" ht="56.25">
      <c r="A219" s="295"/>
      <c r="B219" s="295"/>
      <c r="C219" s="295"/>
      <c r="D219" s="284"/>
      <c r="E219" s="43" t="s">
        <v>1150</v>
      </c>
      <c r="F219" s="105">
        <f t="shared" si="25"/>
        <v>315550</v>
      </c>
      <c r="G219" s="114">
        <v>1</v>
      </c>
      <c r="H219" s="105">
        <f t="shared" si="26"/>
        <v>315550</v>
      </c>
      <c r="I219" s="222">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c r="Y219" s="29">
        <f aca="true" t="shared" si="27" ref="Y219:Y287">K219+L219+M219+N219+O219+P219+Q219+R219+S219+T219-X219</f>
        <v>178550</v>
      </c>
    </row>
    <row r="220" spans="1:25" ht="37.5">
      <c r="A220" s="295"/>
      <c r="B220" s="295"/>
      <c r="C220" s="295"/>
      <c r="D220" s="284"/>
      <c r="E220" s="43" t="s">
        <v>60</v>
      </c>
      <c r="F220" s="105">
        <f t="shared" si="25"/>
        <v>500000</v>
      </c>
      <c r="G220" s="114">
        <v>1</v>
      </c>
      <c r="H220" s="105">
        <f t="shared" si="26"/>
        <v>500000</v>
      </c>
      <c r="I220" s="222">
        <v>3132</v>
      </c>
      <c r="J220" s="40">
        <v>500000</v>
      </c>
      <c r="K220" s="29"/>
      <c r="L220" s="29"/>
      <c r="M220" s="29"/>
      <c r="N220" s="29"/>
      <c r="O220" s="29"/>
      <c r="P220" s="29">
        <f>250000</f>
        <v>250000</v>
      </c>
      <c r="Q220" s="29">
        <f>100000-100000</f>
        <v>0</v>
      </c>
      <c r="R220" s="29">
        <f>60000-60000</f>
        <v>0</v>
      </c>
      <c r="S220" s="29">
        <f>20000-20000</f>
        <v>0</v>
      </c>
      <c r="T220" s="29">
        <f>200000-170000+10000+210000</f>
        <v>250000</v>
      </c>
      <c r="U220" s="29">
        <f>120000+90000-210000</f>
        <v>0</v>
      </c>
      <c r="V220" s="29"/>
      <c r="W220" s="29">
        <f t="shared" si="24"/>
        <v>0</v>
      </c>
      <c r="X220" s="29">
        <f>246555.55</f>
        <v>246555.55</v>
      </c>
      <c r="Y220" s="29">
        <f t="shared" si="27"/>
        <v>253444.45</v>
      </c>
    </row>
    <row r="221" spans="1:25" ht="37.5">
      <c r="A221" s="295"/>
      <c r="B221" s="295"/>
      <c r="C221" s="295"/>
      <c r="D221" s="284"/>
      <c r="E221" s="43" t="s">
        <v>1102</v>
      </c>
      <c r="F221" s="105">
        <f t="shared" si="25"/>
        <v>14600</v>
      </c>
      <c r="G221" s="114">
        <v>1</v>
      </c>
      <c r="H221" s="105">
        <f t="shared" si="26"/>
        <v>14600</v>
      </c>
      <c r="I221" s="222">
        <v>3132</v>
      </c>
      <c r="J221" s="40">
        <v>14600</v>
      </c>
      <c r="K221" s="29"/>
      <c r="L221" s="29"/>
      <c r="M221" s="29"/>
      <c r="N221" s="29"/>
      <c r="O221" s="29"/>
      <c r="P221" s="29"/>
      <c r="Q221" s="29"/>
      <c r="R221" s="29"/>
      <c r="S221" s="29">
        <v>14600</v>
      </c>
      <c r="T221" s="29"/>
      <c r="U221" s="29"/>
      <c r="V221" s="29"/>
      <c r="W221" s="29">
        <f t="shared" si="24"/>
        <v>0</v>
      </c>
      <c r="X221" s="29"/>
      <c r="Y221" s="29">
        <f t="shared" si="27"/>
        <v>14600</v>
      </c>
    </row>
    <row r="222" spans="1:25" ht="37.5">
      <c r="A222" s="295"/>
      <c r="B222" s="295"/>
      <c r="C222" s="295"/>
      <c r="D222" s="284"/>
      <c r="E222" s="43" t="s">
        <v>64</v>
      </c>
      <c r="F222" s="105">
        <f t="shared" si="25"/>
        <v>44600</v>
      </c>
      <c r="G222" s="114">
        <v>1</v>
      </c>
      <c r="H222" s="105">
        <f t="shared" si="26"/>
        <v>44600</v>
      </c>
      <c r="I222" s="222">
        <v>3132</v>
      </c>
      <c r="J222" s="40">
        <v>44600</v>
      </c>
      <c r="K222" s="29"/>
      <c r="L222" s="29"/>
      <c r="M222" s="29"/>
      <c r="N222" s="29"/>
      <c r="O222" s="29"/>
      <c r="P222" s="29"/>
      <c r="Q222" s="29"/>
      <c r="R222" s="29"/>
      <c r="S222" s="29">
        <v>44600</v>
      </c>
      <c r="T222" s="29"/>
      <c r="U222" s="29"/>
      <c r="V222" s="29"/>
      <c r="W222" s="29">
        <f t="shared" si="24"/>
        <v>0</v>
      </c>
      <c r="X222" s="29"/>
      <c r="Y222" s="29">
        <f t="shared" si="27"/>
        <v>44600</v>
      </c>
    </row>
    <row r="223" spans="1:25" ht="43.5" customHeight="1">
      <c r="A223" s="295"/>
      <c r="B223" s="295"/>
      <c r="C223" s="295"/>
      <c r="D223" s="284"/>
      <c r="E223" s="43" t="s">
        <v>1033</v>
      </c>
      <c r="F223" s="105">
        <f t="shared" si="25"/>
        <v>31700</v>
      </c>
      <c r="G223" s="114">
        <v>1</v>
      </c>
      <c r="H223" s="105">
        <f t="shared" si="26"/>
        <v>31700</v>
      </c>
      <c r="I223" s="222">
        <v>3132</v>
      </c>
      <c r="J223" s="40">
        <v>31700</v>
      </c>
      <c r="K223" s="29"/>
      <c r="L223" s="29"/>
      <c r="M223" s="29"/>
      <c r="N223" s="29"/>
      <c r="O223" s="29"/>
      <c r="P223" s="29"/>
      <c r="Q223" s="29"/>
      <c r="R223" s="29"/>
      <c r="S223" s="29">
        <v>31700</v>
      </c>
      <c r="T223" s="29"/>
      <c r="U223" s="29"/>
      <c r="V223" s="29"/>
      <c r="W223" s="29">
        <f t="shared" si="24"/>
        <v>0</v>
      </c>
      <c r="X223" s="29"/>
      <c r="Y223" s="29">
        <f t="shared" si="27"/>
        <v>31700</v>
      </c>
    </row>
    <row r="224" spans="1:25" ht="131.25">
      <c r="A224" s="295"/>
      <c r="B224" s="295"/>
      <c r="C224" s="295"/>
      <c r="D224" s="284"/>
      <c r="E224" s="43" t="s">
        <v>681</v>
      </c>
      <c r="F224" s="105">
        <f t="shared" si="25"/>
        <v>510000</v>
      </c>
      <c r="G224" s="114"/>
      <c r="H224" s="105">
        <f t="shared" si="26"/>
        <v>510000</v>
      </c>
      <c r="I224" s="222">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c r="Y224" s="29">
        <f t="shared" si="27"/>
        <v>494640</v>
      </c>
    </row>
    <row r="225" spans="1:25" ht="37.5">
      <c r="A225" s="295"/>
      <c r="B225" s="295"/>
      <c r="C225" s="295"/>
      <c r="D225" s="284"/>
      <c r="E225" s="43" t="s">
        <v>1023</v>
      </c>
      <c r="F225" s="105">
        <f t="shared" si="25"/>
        <v>500000</v>
      </c>
      <c r="G225" s="114">
        <v>1</v>
      </c>
      <c r="H225" s="105">
        <f t="shared" si="26"/>
        <v>500000</v>
      </c>
      <c r="I225" s="222">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9">
        <f t="shared" si="27"/>
        <v>240000</v>
      </c>
    </row>
    <row r="226" spans="1:25" ht="36" hidden="1">
      <c r="A226" s="295"/>
      <c r="B226" s="295"/>
      <c r="C226" s="295"/>
      <c r="D226" s="284"/>
      <c r="E226" s="43" t="s">
        <v>844</v>
      </c>
      <c r="F226" s="105">
        <f t="shared" si="25"/>
        <v>0</v>
      </c>
      <c r="G226" s="114"/>
      <c r="H226" s="105">
        <f t="shared" si="26"/>
        <v>0</v>
      </c>
      <c r="I226" s="222">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9">
        <f t="shared" si="27"/>
        <v>0</v>
      </c>
    </row>
    <row r="227" spans="1:25" ht="131.25">
      <c r="A227" s="295"/>
      <c r="B227" s="295"/>
      <c r="C227" s="295"/>
      <c r="D227" s="284"/>
      <c r="E227" s="186" t="s">
        <v>1074</v>
      </c>
      <c r="F227" s="198">
        <f t="shared" si="25"/>
        <v>990000</v>
      </c>
      <c r="G227" s="199"/>
      <c r="H227" s="198">
        <f t="shared" si="26"/>
        <v>990000</v>
      </c>
      <c r="I227" s="229">
        <v>3132</v>
      </c>
      <c r="J227" s="200">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9">
        <f t="shared" si="27"/>
        <v>1701</v>
      </c>
    </row>
    <row r="228" spans="1:25" ht="37.5">
      <c r="A228" s="295"/>
      <c r="B228" s="295"/>
      <c r="C228" s="295"/>
      <c r="D228" s="284"/>
      <c r="E228" s="43" t="s">
        <v>990</v>
      </c>
      <c r="F228" s="105">
        <f t="shared" si="25"/>
        <v>756000</v>
      </c>
      <c r="G228" s="114"/>
      <c r="H228" s="105">
        <f t="shared" si="26"/>
        <v>756000</v>
      </c>
      <c r="I228" s="222">
        <v>3132</v>
      </c>
      <c r="J228" s="40">
        <v>756000</v>
      </c>
      <c r="K228" s="29"/>
      <c r="L228" s="29"/>
      <c r="M228" s="29"/>
      <c r="N228" s="29"/>
      <c r="O228" s="29"/>
      <c r="P228" s="29"/>
      <c r="Q228" s="29"/>
      <c r="R228" s="29"/>
      <c r="S228" s="29"/>
      <c r="T228" s="29">
        <f>65000+691000</f>
        <v>756000</v>
      </c>
      <c r="U228" s="29">
        <f>29000-29000</f>
        <v>0</v>
      </c>
      <c r="V228" s="29">
        <f>662000-662000</f>
        <v>0</v>
      </c>
      <c r="W228" s="29">
        <f t="shared" si="28"/>
        <v>0</v>
      </c>
      <c r="X228" s="29">
        <f>655900.8</f>
        <v>655900.8</v>
      </c>
      <c r="Y228" s="29">
        <f t="shared" si="27"/>
        <v>100099.19999999995</v>
      </c>
    </row>
    <row r="229" spans="1:25" ht="37.5">
      <c r="A229" s="295"/>
      <c r="B229" s="295"/>
      <c r="C229" s="295"/>
      <c r="D229" s="284"/>
      <c r="E229" s="43" t="s">
        <v>641</v>
      </c>
      <c r="F229" s="105">
        <f t="shared" si="25"/>
        <v>400000</v>
      </c>
      <c r="G229" s="114"/>
      <c r="H229" s="105">
        <f t="shared" si="26"/>
        <v>400000</v>
      </c>
      <c r="I229" s="222">
        <v>3132</v>
      </c>
      <c r="J229" s="40">
        <v>400000</v>
      </c>
      <c r="K229" s="29"/>
      <c r="L229" s="29"/>
      <c r="M229" s="29"/>
      <c r="N229" s="29"/>
      <c r="O229" s="29"/>
      <c r="P229" s="29"/>
      <c r="Q229" s="29"/>
      <c r="R229" s="29"/>
      <c r="S229" s="29"/>
      <c r="T229" s="29"/>
      <c r="U229" s="29">
        <v>400000</v>
      </c>
      <c r="V229" s="29"/>
      <c r="W229" s="29">
        <f t="shared" si="28"/>
        <v>0</v>
      </c>
      <c r="X229" s="29"/>
      <c r="Y229" s="29">
        <f t="shared" si="27"/>
        <v>0</v>
      </c>
    </row>
    <row r="230" spans="1:25" ht="72" hidden="1">
      <c r="A230" s="295"/>
      <c r="B230" s="295"/>
      <c r="C230" s="295"/>
      <c r="D230" s="284"/>
      <c r="E230" s="43" t="s">
        <v>1024</v>
      </c>
      <c r="F230" s="105">
        <f t="shared" si="25"/>
        <v>0</v>
      </c>
      <c r="G230" s="114">
        <v>1</v>
      </c>
      <c r="H230" s="105">
        <f t="shared" si="26"/>
        <v>0</v>
      </c>
      <c r="I230" s="222">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9">
        <f t="shared" si="27"/>
        <v>0</v>
      </c>
    </row>
    <row r="231" spans="1:25" ht="112.5">
      <c r="A231" s="295"/>
      <c r="B231" s="295"/>
      <c r="C231" s="295"/>
      <c r="D231" s="284"/>
      <c r="E231" s="43" t="s">
        <v>689</v>
      </c>
      <c r="F231" s="43"/>
      <c r="G231" s="43"/>
      <c r="H231" s="43"/>
      <c r="I231" s="250">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9">
        <f>K231+L231+M231+N231+O231+P231+Q231+R231+S231+T231-X231</f>
        <v>272950</v>
      </c>
    </row>
    <row r="232" spans="1:25" ht="112.5">
      <c r="A232" s="295"/>
      <c r="B232" s="295"/>
      <c r="C232" s="295"/>
      <c r="D232" s="284"/>
      <c r="E232" s="43" t="s">
        <v>687</v>
      </c>
      <c r="F232" s="43"/>
      <c r="G232" s="43"/>
      <c r="H232" s="43"/>
      <c r="I232" s="250">
        <v>3132</v>
      </c>
      <c r="J232" s="40">
        <f>500000+15000</f>
        <v>515000</v>
      </c>
      <c r="K232" s="29"/>
      <c r="L232" s="29"/>
      <c r="M232" s="29"/>
      <c r="N232" s="29"/>
      <c r="O232" s="29"/>
      <c r="P232" s="29"/>
      <c r="Q232" s="29"/>
      <c r="R232" s="29"/>
      <c r="S232" s="40"/>
      <c r="T232" s="40">
        <f>500000+15000</f>
        <v>515000</v>
      </c>
      <c r="U232" s="29"/>
      <c r="V232" s="29"/>
      <c r="W232" s="29">
        <f>J232-K232-L232-M232-N232-O232-P232-Q232-R232-S232-T232-U232-V232</f>
        <v>0</v>
      </c>
      <c r="X232" s="29"/>
      <c r="Y232" s="29">
        <f>K232+L232+M232+N232+O232+P232+Q232+R232+S232+T232-X232</f>
        <v>515000</v>
      </c>
    </row>
    <row r="233" spans="1:25" ht="37.5">
      <c r="A233" s="295"/>
      <c r="B233" s="295"/>
      <c r="C233" s="295"/>
      <c r="D233" s="284"/>
      <c r="E233" s="43" t="s">
        <v>547</v>
      </c>
      <c r="F233" s="105"/>
      <c r="G233" s="114"/>
      <c r="H233" s="105"/>
      <c r="I233" s="222">
        <v>3132</v>
      </c>
      <c r="J233" s="40">
        <v>45500</v>
      </c>
      <c r="K233" s="29"/>
      <c r="L233" s="29"/>
      <c r="M233" s="29"/>
      <c r="N233" s="29"/>
      <c r="O233" s="29"/>
      <c r="P233" s="29"/>
      <c r="Q233" s="29">
        <v>45500</v>
      </c>
      <c r="R233" s="29"/>
      <c r="S233" s="29"/>
      <c r="T233" s="29"/>
      <c r="U233" s="29"/>
      <c r="V233" s="29"/>
      <c r="W233" s="29">
        <f t="shared" si="28"/>
        <v>0</v>
      </c>
      <c r="X233" s="29">
        <v>44853.56</v>
      </c>
      <c r="Y233" s="29">
        <f t="shared" si="27"/>
        <v>646.4400000000023</v>
      </c>
    </row>
    <row r="234" spans="1:25" ht="44.25" customHeight="1">
      <c r="A234" s="295"/>
      <c r="B234" s="295"/>
      <c r="C234" s="295"/>
      <c r="D234" s="284"/>
      <c r="E234" s="43" t="s">
        <v>711</v>
      </c>
      <c r="F234" s="105">
        <f t="shared" si="25"/>
        <v>205000</v>
      </c>
      <c r="G234" s="114">
        <v>1</v>
      </c>
      <c r="H234" s="105">
        <f t="shared" si="26"/>
        <v>205000</v>
      </c>
      <c r="I234" s="222">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9">
        <f t="shared" si="27"/>
        <v>33233.20000000001</v>
      </c>
    </row>
    <row r="235" spans="1:25" ht="42" customHeight="1">
      <c r="A235" s="295"/>
      <c r="B235" s="295"/>
      <c r="C235" s="295"/>
      <c r="D235" s="284"/>
      <c r="E235" s="43" t="s">
        <v>712</v>
      </c>
      <c r="F235" s="105">
        <f t="shared" si="25"/>
        <v>180000</v>
      </c>
      <c r="G235" s="114">
        <v>1</v>
      </c>
      <c r="H235" s="105">
        <f t="shared" si="26"/>
        <v>180000</v>
      </c>
      <c r="I235" s="222">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c r="Y235" s="29">
        <f t="shared" si="27"/>
        <v>59500</v>
      </c>
    </row>
    <row r="236" spans="1:25" ht="42" customHeight="1">
      <c r="A236" s="295"/>
      <c r="B236" s="295"/>
      <c r="C236" s="295"/>
      <c r="D236" s="284"/>
      <c r="E236" s="43" t="s">
        <v>550</v>
      </c>
      <c r="F236" s="105">
        <f t="shared" si="25"/>
        <v>400000</v>
      </c>
      <c r="G236" s="114"/>
      <c r="H236" s="105">
        <f t="shared" si="26"/>
        <v>400000</v>
      </c>
      <c r="I236" s="222">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f>
        <v>111540.6</v>
      </c>
      <c r="Y236" s="29">
        <f t="shared" si="27"/>
        <v>218459.4</v>
      </c>
    </row>
    <row r="237" spans="1:25" ht="118.5" customHeight="1">
      <c r="A237" s="295"/>
      <c r="B237" s="295"/>
      <c r="C237" s="295"/>
      <c r="D237" s="284"/>
      <c r="E237" s="43" t="s">
        <v>682</v>
      </c>
      <c r="F237" s="105">
        <f t="shared" si="25"/>
        <v>412000</v>
      </c>
      <c r="G237" s="114"/>
      <c r="H237" s="105">
        <f t="shared" si="26"/>
        <v>412000</v>
      </c>
      <c r="I237" s="222">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9">
        <f t="shared" si="27"/>
        <v>412000</v>
      </c>
    </row>
    <row r="238" spans="1:25" ht="56.25">
      <c r="A238" s="295"/>
      <c r="B238" s="295"/>
      <c r="C238" s="295"/>
      <c r="D238" s="284"/>
      <c r="E238" s="43" t="s">
        <v>713</v>
      </c>
      <c r="F238" s="105">
        <f t="shared" si="25"/>
        <v>7600000</v>
      </c>
      <c r="G238" s="114">
        <v>1</v>
      </c>
      <c r="H238" s="105">
        <f t="shared" si="26"/>
        <v>7600000</v>
      </c>
      <c r="I238" s="222">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35000+217000-81000-264000</f>
        <v>-93000</v>
      </c>
      <c r="U238" s="29">
        <f>708566.53+759360-1400000+81000</f>
        <v>148926.53000000003</v>
      </c>
      <c r="V238" s="29">
        <f>5300000+58000+221640-783748+264000</f>
        <v>5059892</v>
      </c>
      <c r="W238" s="29">
        <f t="shared" si="24"/>
        <v>0</v>
      </c>
      <c r="X238" s="29">
        <f>206585.2+2183748</f>
        <v>2390333.2</v>
      </c>
      <c r="Y238" s="29">
        <f t="shared" si="27"/>
        <v>848.269999999553</v>
      </c>
    </row>
    <row r="239" spans="1:25" ht="37.5">
      <c r="A239" s="295"/>
      <c r="B239" s="295"/>
      <c r="C239" s="295"/>
      <c r="D239" s="284"/>
      <c r="E239" s="43" t="s">
        <v>1039</v>
      </c>
      <c r="F239" s="105"/>
      <c r="G239" s="114"/>
      <c r="H239" s="105"/>
      <c r="I239" s="222">
        <v>3132</v>
      </c>
      <c r="J239" s="40">
        <v>600000</v>
      </c>
      <c r="K239" s="29"/>
      <c r="L239" s="29"/>
      <c r="M239" s="29"/>
      <c r="N239" s="29"/>
      <c r="O239" s="29"/>
      <c r="P239" s="29"/>
      <c r="Q239" s="29"/>
      <c r="R239" s="29"/>
      <c r="S239" s="29">
        <v>50000</v>
      </c>
      <c r="T239" s="29">
        <v>400000</v>
      </c>
      <c r="U239" s="29"/>
      <c r="V239" s="29">
        <f>600000-50000-400000</f>
        <v>150000</v>
      </c>
      <c r="W239" s="29">
        <f t="shared" si="24"/>
        <v>0</v>
      </c>
      <c r="X239" s="29"/>
      <c r="Y239" s="29">
        <f t="shared" si="27"/>
        <v>450000</v>
      </c>
    </row>
    <row r="240" spans="1:25" ht="37.5">
      <c r="A240" s="295"/>
      <c r="B240" s="295"/>
      <c r="C240" s="295"/>
      <c r="D240" s="284"/>
      <c r="E240" s="43" t="s">
        <v>992</v>
      </c>
      <c r="F240" s="105"/>
      <c r="G240" s="114"/>
      <c r="H240" s="105"/>
      <c r="I240" s="222">
        <v>3132</v>
      </c>
      <c r="J240" s="40">
        <v>1400000</v>
      </c>
      <c r="K240" s="29"/>
      <c r="L240" s="29"/>
      <c r="M240" s="29"/>
      <c r="N240" s="29"/>
      <c r="O240" s="29"/>
      <c r="P240" s="29"/>
      <c r="Q240" s="29"/>
      <c r="R240" s="29"/>
      <c r="S240" s="29"/>
      <c r="T240" s="29">
        <f>35443+800000</f>
        <v>835443</v>
      </c>
      <c r="U240" s="29">
        <f>333000</f>
        <v>333000</v>
      </c>
      <c r="V240" s="29">
        <f>1031557-800000</f>
        <v>231557</v>
      </c>
      <c r="W240" s="29">
        <f t="shared" si="24"/>
        <v>0</v>
      </c>
      <c r="X240" s="29"/>
      <c r="Y240" s="29">
        <f t="shared" si="27"/>
        <v>835443</v>
      </c>
    </row>
    <row r="241" spans="1:25" ht="131.25">
      <c r="A241" s="295"/>
      <c r="B241" s="295"/>
      <c r="C241" s="295"/>
      <c r="D241" s="284"/>
      <c r="E241" s="43" t="s">
        <v>683</v>
      </c>
      <c r="F241" s="105"/>
      <c r="G241" s="114"/>
      <c r="H241" s="105"/>
      <c r="I241" s="222">
        <v>3132</v>
      </c>
      <c r="J241" s="40">
        <f>412000</f>
        <v>412000</v>
      </c>
      <c r="K241" s="29"/>
      <c r="L241" s="29"/>
      <c r="M241" s="29"/>
      <c r="N241" s="29"/>
      <c r="O241" s="29"/>
      <c r="P241" s="29"/>
      <c r="Q241" s="29"/>
      <c r="R241" s="29"/>
      <c r="S241" s="29"/>
      <c r="T241" s="29">
        <f>412000</f>
        <v>412000</v>
      </c>
      <c r="U241" s="29"/>
      <c r="V241" s="29"/>
      <c r="W241" s="29">
        <f t="shared" si="24"/>
        <v>0</v>
      </c>
      <c r="X241" s="29"/>
      <c r="Y241" s="29">
        <f t="shared" si="27"/>
        <v>412000</v>
      </c>
    </row>
    <row r="242" spans="1:25" ht="56.25">
      <c r="A242" s="295"/>
      <c r="B242" s="295"/>
      <c r="C242" s="295"/>
      <c r="D242" s="284"/>
      <c r="E242" s="43" t="s">
        <v>1038</v>
      </c>
      <c r="F242" s="105"/>
      <c r="G242" s="114"/>
      <c r="H242" s="105"/>
      <c r="I242" s="222">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9">
        <f t="shared" si="27"/>
        <v>77000.2</v>
      </c>
    </row>
    <row r="243" spans="1:25" ht="37.5">
      <c r="A243" s="295"/>
      <c r="B243" s="296"/>
      <c r="C243" s="295"/>
      <c r="D243" s="284"/>
      <c r="E243" s="36" t="s">
        <v>590</v>
      </c>
      <c r="F243" s="105">
        <f t="shared" si="25"/>
        <v>1500000</v>
      </c>
      <c r="G243" s="114">
        <v>1</v>
      </c>
      <c r="H243" s="105">
        <f t="shared" si="26"/>
        <v>1500000</v>
      </c>
      <c r="I243" s="222">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19439+485976.5</f>
        <v>505415.5</v>
      </c>
      <c r="Y243" s="29">
        <f t="shared" si="27"/>
        <v>374584.5</v>
      </c>
    </row>
    <row r="244" spans="1:25" ht="18.75">
      <c r="A244" s="302" t="s">
        <v>1173</v>
      </c>
      <c r="B244" s="294" t="s">
        <v>8</v>
      </c>
      <c r="C244" s="302" t="s">
        <v>84</v>
      </c>
      <c r="D244" s="297" t="s">
        <v>896</v>
      </c>
      <c r="E244" s="36"/>
      <c r="F244" s="36"/>
      <c r="G244" s="36"/>
      <c r="H244" s="36"/>
      <c r="I244" s="223"/>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390000</v>
      </c>
      <c r="U244" s="16">
        <f t="shared" si="29"/>
        <v>210000</v>
      </c>
      <c r="V244" s="16">
        <f t="shared" si="29"/>
        <v>400000</v>
      </c>
      <c r="W244" s="16">
        <f t="shared" si="29"/>
        <v>0</v>
      </c>
      <c r="X244" s="16">
        <f t="shared" si="29"/>
        <v>0</v>
      </c>
      <c r="Y244" s="29">
        <f t="shared" si="27"/>
        <v>390000</v>
      </c>
    </row>
    <row r="245" spans="1:25" ht="136.5" customHeight="1">
      <c r="A245" s="302"/>
      <c r="B245" s="296"/>
      <c r="C245" s="302"/>
      <c r="D245" s="297"/>
      <c r="E245" s="36" t="s">
        <v>591</v>
      </c>
      <c r="F245" s="36"/>
      <c r="G245" s="36"/>
      <c r="H245" s="36"/>
      <c r="I245" s="223">
        <v>3110</v>
      </c>
      <c r="J245" s="40">
        <f>1300000-300000</f>
        <v>1000000</v>
      </c>
      <c r="K245" s="29"/>
      <c r="L245" s="29"/>
      <c r="M245" s="29"/>
      <c r="N245" s="29"/>
      <c r="O245" s="29"/>
      <c r="P245" s="29"/>
      <c r="Q245" s="29"/>
      <c r="R245" s="29"/>
      <c r="S245" s="29">
        <f>1300000-300000-767734.7-232265.3</f>
        <v>0</v>
      </c>
      <c r="T245" s="29">
        <f>767734.7+232265.3-210000-400000</f>
        <v>390000</v>
      </c>
      <c r="U245" s="29">
        <f>210000</f>
        <v>210000</v>
      </c>
      <c r="V245" s="29">
        <v>400000</v>
      </c>
      <c r="W245" s="29">
        <f t="shared" si="24"/>
        <v>0</v>
      </c>
      <c r="X245" s="29"/>
      <c r="Y245" s="29">
        <f t="shared" si="27"/>
        <v>390000</v>
      </c>
    </row>
    <row r="246" spans="1:25" ht="18.75">
      <c r="A246" s="306" t="s">
        <v>119</v>
      </c>
      <c r="B246" s="291" t="s">
        <v>1193</v>
      </c>
      <c r="C246" s="306" t="s">
        <v>721</v>
      </c>
      <c r="D246" s="297" t="s">
        <v>120</v>
      </c>
      <c r="E246" s="28"/>
      <c r="F246" s="28"/>
      <c r="G246" s="28"/>
      <c r="H246" s="28"/>
      <c r="I246" s="225"/>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406772.4</v>
      </c>
      <c r="Y246" s="29">
        <f t="shared" si="27"/>
        <v>301227.6</v>
      </c>
    </row>
    <row r="247" spans="1:25" ht="54.75" customHeight="1">
      <c r="A247" s="306"/>
      <c r="B247" s="293"/>
      <c r="C247" s="306"/>
      <c r="D247" s="297"/>
      <c r="E247" s="28" t="s">
        <v>1133</v>
      </c>
      <c r="F247" s="28"/>
      <c r="G247" s="28"/>
      <c r="H247" s="28"/>
      <c r="I247" s="225">
        <v>3110</v>
      </c>
      <c r="J247" s="47">
        <v>152000</v>
      </c>
      <c r="K247" s="29"/>
      <c r="L247" s="29"/>
      <c r="M247" s="29"/>
      <c r="N247" s="29"/>
      <c r="O247" s="29"/>
      <c r="P247" s="29"/>
      <c r="Q247" s="29"/>
      <c r="R247" s="29"/>
      <c r="S247" s="29">
        <v>152000</v>
      </c>
      <c r="T247" s="29"/>
      <c r="U247" s="29"/>
      <c r="V247" s="29"/>
      <c r="W247" s="29">
        <f t="shared" si="24"/>
        <v>0</v>
      </c>
      <c r="X247" s="29"/>
      <c r="Y247" s="29">
        <f t="shared" si="27"/>
        <v>152000</v>
      </c>
    </row>
    <row r="248" spans="1:25" ht="56.25">
      <c r="A248" s="306"/>
      <c r="B248" s="293"/>
      <c r="C248" s="306"/>
      <c r="D248" s="297"/>
      <c r="E248" s="28" t="s">
        <v>464</v>
      </c>
      <c r="F248" s="28"/>
      <c r="G248" s="28"/>
      <c r="H248" s="28"/>
      <c r="I248" s="225">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9">
        <f t="shared" si="27"/>
        <v>70000</v>
      </c>
    </row>
    <row r="249" spans="1:25" ht="56.25">
      <c r="A249" s="306"/>
      <c r="B249" s="293"/>
      <c r="C249" s="306"/>
      <c r="D249" s="297"/>
      <c r="E249" s="28" t="s">
        <v>592</v>
      </c>
      <c r="F249" s="105">
        <f>J249</f>
        <v>200000</v>
      </c>
      <c r="G249" s="114">
        <v>1</v>
      </c>
      <c r="H249" s="105">
        <f>J249</f>
        <v>200000</v>
      </c>
      <c r="I249" s="222">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9">
        <f t="shared" si="27"/>
        <v>710.3999999999942</v>
      </c>
    </row>
    <row r="250" spans="1:25" ht="37.5">
      <c r="A250" s="306"/>
      <c r="B250" s="293"/>
      <c r="C250" s="306"/>
      <c r="D250" s="297"/>
      <c r="E250" s="28" t="s">
        <v>593</v>
      </c>
      <c r="F250" s="105">
        <f>J250</f>
        <v>100000</v>
      </c>
      <c r="G250" s="114">
        <v>1</v>
      </c>
      <c r="H250" s="105">
        <f>J250</f>
        <v>100000</v>
      </c>
      <c r="I250" s="222">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9">
        <f t="shared" si="27"/>
        <v>17639</v>
      </c>
    </row>
    <row r="251" spans="1:25" ht="37.5">
      <c r="A251" s="306"/>
      <c r="B251" s="292"/>
      <c r="C251" s="306"/>
      <c r="D251" s="297"/>
      <c r="E251" s="36" t="s">
        <v>594</v>
      </c>
      <c r="F251" s="105">
        <f>J251</f>
        <v>320000</v>
      </c>
      <c r="G251" s="114">
        <v>1</v>
      </c>
      <c r="H251" s="105">
        <f>J251</f>
        <v>320000</v>
      </c>
      <c r="I251" s="222">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4471.2+154650.6</f>
        <v>159121.80000000002</v>
      </c>
      <c r="Y251" s="29">
        <f t="shared" si="27"/>
        <v>60878.19999999998</v>
      </c>
    </row>
    <row r="252" spans="1:25" ht="18" hidden="1">
      <c r="A252" s="306" t="s">
        <v>880</v>
      </c>
      <c r="B252" s="45"/>
      <c r="C252" s="306" t="s">
        <v>881</v>
      </c>
      <c r="D252" s="297" t="s">
        <v>882</v>
      </c>
      <c r="E252" s="28"/>
      <c r="F252" s="28"/>
      <c r="G252" s="28"/>
      <c r="H252" s="28"/>
      <c r="I252" s="225"/>
      <c r="J252" s="46">
        <f>J253</f>
        <v>0</v>
      </c>
      <c r="K252" s="29"/>
      <c r="L252" s="29"/>
      <c r="M252" s="29"/>
      <c r="N252" s="29"/>
      <c r="O252" s="29"/>
      <c r="P252" s="29"/>
      <c r="Q252" s="29"/>
      <c r="R252" s="29"/>
      <c r="S252" s="29"/>
      <c r="T252" s="29"/>
      <c r="U252" s="29"/>
      <c r="V252" s="29"/>
      <c r="W252" s="29">
        <f t="shared" si="24"/>
        <v>0</v>
      </c>
      <c r="X252" s="29"/>
      <c r="Y252" s="29">
        <f t="shared" si="27"/>
        <v>0</v>
      </c>
    </row>
    <row r="253" spans="1:25" ht="18" hidden="1">
      <c r="A253" s="306"/>
      <c r="B253" s="45"/>
      <c r="C253" s="306"/>
      <c r="D253" s="297"/>
      <c r="E253" s="28"/>
      <c r="F253" s="28"/>
      <c r="G253" s="28"/>
      <c r="H253" s="28"/>
      <c r="I253" s="225"/>
      <c r="J253" s="47"/>
      <c r="K253" s="29"/>
      <c r="L253" s="29"/>
      <c r="M253" s="29"/>
      <c r="N253" s="29"/>
      <c r="O253" s="29"/>
      <c r="P253" s="29"/>
      <c r="Q253" s="29"/>
      <c r="R253" s="29"/>
      <c r="S253" s="29"/>
      <c r="T253" s="29"/>
      <c r="U253" s="29"/>
      <c r="V253" s="29"/>
      <c r="W253" s="29">
        <f t="shared" si="24"/>
        <v>0</v>
      </c>
      <c r="X253" s="29"/>
      <c r="Y253" s="29">
        <f t="shared" si="27"/>
        <v>0</v>
      </c>
    </row>
    <row r="254" spans="1:25" ht="18" hidden="1">
      <c r="A254" s="306" t="s">
        <v>883</v>
      </c>
      <c r="B254" s="45"/>
      <c r="C254" s="306" t="s">
        <v>884</v>
      </c>
      <c r="D254" s="297" t="s">
        <v>885</v>
      </c>
      <c r="E254" s="28"/>
      <c r="F254" s="28"/>
      <c r="G254" s="28"/>
      <c r="H254" s="28"/>
      <c r="I254" s="225"/>
      <c r="J254" s="46">
        <f>SUM(J255)</f>
        <v>0</v>
      </c>
      <c r="K254" s="29"/>
      <c r="L254" s="29"/>
      <c r="M254" s="29"/>
      <c r="N254" s="29"/>
      <c r="O254" s="29"/>
      <c r="P254" s="29"/>
      <c r="Q254" s="29"/>
      <c r="R254" s="29"/>
      <c r="S254" s="29"/>
      <c r="T254" s="29"/>
      <c r="U254" s="29"/>
      <c r="V254" s="29"/>
      <c r="W254" s="29">
        <f t="shared" si="24"/>
        <v>0</v>
      </c>
      <c r="X254" s="29"/>
      <c r="Y254" s="29">
        <f t="shared" si="27"/>
        <v>0</v>
      </c>
    </row>
    <row r="255" spans="1:25" ht="18" hidden="1">
      <c r="A255" s="306"/>
      <c r="B255" s="45"/>
      <c r="C255" s="306"/>
      <c r="D255" s="297"/>
      <c r="E255" s="28"/>
      <c r="F255" s="28"/>
      <c r="G255" s="28"/>
      <c r="H255" s="28"/>
      <c r="I255" s="225"/>
      <c r="J255" s="47"/>
      <c r="K255" s="29"/>
      <c r="L255" s="29"/>
      <c r="M255" s="29"/>
      <c r="N255" s="29"/>
      <c r="O255" s="29"/>
      <c r="P255" s="29"/>
      <c r="Q255" s="29"/>
      <c r="R255" s="29"/>
      <c r="S255" s="29"/>
      <c r="T255" s="29"/>
      <c r="U255" s="29"/>
      <c r="V255" s="29"/>
      <c r="W255" s="29">
        <f t="shared" si="24"/>
        <v>0</v>
      </c>
      <c r="X255" s="29"/>
      <c r="Y255" s="29">
        <f t="shared" si="27"/>
        <v>0</v>
      </c>
    </row>
    <row r="256" spans="1:25" ht="18" hidden="1">
      <c r="A256" s="306" t="s">
        <v>886</v>
      </c>
      <c r="B256" s="45"/>
      <c r="C256" s="306" t="s">
        <v>887</v>
      </c>
      <c r="D256" s="297" t="s">
        <v>1181</v>
      </c>
      <c r="E256" s="28"/>
      <c r="F256" s="28"/>
      <c r="G256" s="28"/>
      <c r="H256" s="28"/>
      <c r="I256" s="225"/>
      <c r="J256" s="46">
        <f>SUM(J257)</f>
        <v>0</v>
      </c>
      <c r="K256" s="29"/>
      <c r="L256" s="29"/>
      <c r="M256" s="29"/>
      <c r="N256" s="29"/>
      <c r="O256" s="29"/>
      <c r="P256" s="29"/>
      <c r="Q256" s="29"/>
      <c r="R256" s="29"/>
      <c r="S256" s="29"/>
      <c r="T256" s="29"/>
      <c r="U256" s="29"/>
      <c r="V256" s="29"/>
      <c r="W256" s="29">
        <f t="shared" si="24"/>
        <v>0</v>
      </c>
      <c r="X256" s="29"/>
      <c r="Y256" s="29">
        <f t="shared" si="27"/>
        <v>0</v>
      </c>
    </row>
    <row r="257" spans="1:25" ht="18" hidden="1">
      <c r="A257" s="306"/>
      <c r="B257" s="45"/>
      <c r="C257" s="306"/>
      <c r="D257" s="297"/>
      <c r="E257" s="36"/>
      <c r="F257" s="36"/>
      <c r="G257" s="36"/>
      <c r="H257" s="36"/>
      <c r="I257" s="223"/>
      <c r="J257" s="40"/>
      <c r="K257" s="29"/>
      <c r="L257" s="29"/>
      <c r="M257" s="29"/>
      <c r="N257" s="29"/>
      <c r="O257" s="29"/>
      <c r="P257" s="29"/>
      <c r="Q257" s="29"/>
      <c r="R257" s="29"/>
      <c r="S257" s="29"/>
      <c r="T257" s="29"/>
      <c r="U257" s="29"/>
      <c r="V257" s="29"/>
      <c r="W257" s="29">
        <f t="shared" si="24"/>
        <v>0</v>
      </c>
      <c r="X257" s="29"/>
      <c r="Y257" s="29">
        <f t="shared" si="27"/>
        <v>0</v>
      </c>
    </row>
    <row r="258" spans="1:25" ht="18" hidden="1">
      <c r="A258" s="291" t="s">
        <v>274</v>
      </c>
      <c r="B258" s="48"/>
      <c r="C258" s="291" t="s">
        <v>887</v>
      </c>
      <c r="D258" s="283" t="s">
        <v>817</v>
      </c>
      <c r="E258" s="28"/>
      <c r="F258" s="28"/>
      <c r="G258" s="28"/>
      <c r="H258" s="28"/>
      <c r="I258" s="225"/>
      <c r="J258" s="46">
        <f>SUM(J259:J260)</f>
        <v>0</v>
      </c>
      <c r="K258" s="29"/>
      <c r="L258" s="29"/>
      <c r="M258" s="29"/>
      <c r="N258" s="29"/>
      <c r="O258" s="29"/>
      <c r="P258" s="29"/>
      <c r="Q258" s="29"/>
      <c r="R258" s="29"/>
      <c r="S258" s="29"/>
      <c r="T258" s="29"/>
      <c r="U258" s="29"/>
      <c r="V258" s="29"/>
      <c r="W258" s="29">
        <f t="shared" si="24"/>
        <v>0</v>
      </c>
      <c r="X258" s="29"/>
      <c r="Y258" s="29">
        <f t="shared" si="27"/>
        <v>0</v>
      </c>
    </row>
    <row r="259" spans="1:25" ht="18" hidden="1">
      <c r="A259" s="293"/>
      <c r="B259" s="49"/>
      <c r="C259" s="293"/>
      <c r="D259" s="284"/>
      <c r="E259" s="50"/>
      <c r="F259" s="50"/>
      <c r="G259" s="50"/>
      <c r="H259" s="50"/>
      <c r="I259" s="251"/>
      <c r="J259" s="47"/>
      <c r="K259" s="29"/>
      <c r="L259" s="29"/>
      <c r="M259" s="29"/>
      <c r="N259" s="29"/>
      <c r="O259" s="29"/>
      <c r="P259" s="29"/>
      <c r="Q259" s="29"/>
      <c r="R259" s="29"/>
      <c r="S259" s="29"/>
      <c r="T259" s="29"/>
      <c r="U259" s="29"/>
      <c r="V259" s="29"/>
      <c r="W259" s="29">
        <f t="shared" si="24"/>
        <v>0</v>
      </c>
      <c r="X259" s="29"/>
      <c r="Y259" s="29">
        <f t="shared" si="27"/>
        <v>0</v>
      </c>
    </row>
    <row r="260" spans="1:25" ht="18" hidden="1">
      <c r="A260" s="293"/>
      <c r="B260" s="49"/>
      <c r="C260" s="293"/>
      <c r="D260" s="284"/>
      <c r="E260" s="50"/>
      <c r="F260" s="50"/>
      <c r="G260" s="50"/>
      <c r="H260" s="50"/>
      <c r="I260" s="251"/>
      <c r="J260" s="47"/>
      <c r="K260" s="29"/>
      <c r="L260" s="29"/>
      <c r="M260" s="29"/>
      <c r="N260" s="29"/>
      <c r="O260" s="29"/>
      <c r="P260" s="29"/>
      <c r="Q260" s="29"/>
      <c r="R260" s="29"/>
      <c r="S260" s="29"/>
      <c r="T260" s="29"/>
      <c r="U260" s="29"/>
      <c r="V260" s="29"/>
      <c r="W260" s="29">
        <f t="shared" si="24"/>
        <v>0</v>
      </c>
      <c r="X260" s="29"/>
      <c r="Y260" s="29">
        <f t="shared" si="27"/>
        <v>0</v>
      </c>
    </row>
    <row r="261" spans="1:25" ht="18" hidden="1">
      <c r="A261" s="306" t="s">
        <v>818</v>
      </c>
      <c r="B261" s="48"/>
      <c r="C261" s="291" t="s">
        <v>887</v>
      </c>
      <c r="D261" s="283" t="s">
        <v>838</v>
      </c>
      <c r="E261" s="50"/>
      <c r="F261" s="50"/>
      <c r="G261" s="50"/>
      <c r="H261" s="50"/>
      <c r="I261" s="251"/>
      <c r="J261" s="46">
        <f>J262</f>
        <v>0</v>
      </c>
      <c r="K261" s="29"/>
      <c r="L261" s="29"/>
      <c r="M261" s="29"/>
      <c r="N261" s="29"/>
      <c r="O261" s="29"/>
      <c r="P261" s="29"/>
      <c r="Q261" s="29"/>
      <c r="R261" s="29"/>
      <c r="S261" s="29"/>
      <c r="T261" s="29"/>
      <c r="U261" s="29"/>
      <c r="V261" s="29"/>
      <c r="W261" s="29">
        <f t="shared" si="24"/>
        <v>0</v>
      </c>
      <c r="X261" s="29"/>
      <c r="Y261" s="29">
        <f t="shared" si="27"/>
        <v>0</v>
      </c>
    </row>
    <row r="262" spans="1:25" ht="18" hidden="1">
      <c r="A262" s="306"/>
      <c r="B262" s="51"/>
      <c r="C262" s="292"/>
      <c r="D262" s="301"/>
      <c r="E262" s="50"/>
      <c r="F262" s="50"/>
      <c r="G262" s="50"/>
      <c r="H262" s="50"/>
      <c r="I262" s="251"/>
      <c r="J262" s="47"/>
      <c r="K262" s="29"/>
      <c r="L262" s="29"/>
      <c r="M262" s="29"/>
      <c r="N262" s="29"/>
      <c r="O262" s="29"/>
      <c r="P262" s="29"/>
      <c r="Q262" s="29"/>
      <c r="R262" s="29"/>
      <c r="S262" s="29"/>
      <c r="T262" s="29"/>
      <c r="U262" s="29"/>
      <c r="V262" s="29"/>
      <c r="W262" s="29">
        <f t="shared" si="24"/>
        <v>0</v>
      </c>
      <c r="X262" s="29"/>
      <c r="Y262" s="29">
        <f t="shared" si="27"/>
        <v>0</v>
      </c>
    </row>
    <row r="263" spans="1:25" ht="18" hidden="1">
      <c r="A263" s="291" t="s">
        <v>1203</v>
      </c>
      <c r="B263" s="291" t="s">
        <v>1137</v>
      </c>
      <c r="C263" s="291" t="s">
        <v>839</v>
      </c>
      <c r="D263" s="283" t="s">
        <v>82</v>
      </c>
      <c r="E263" s="52"/>
      <c r="F263" s="52"/>
      <c r="G263" s="52"/>
      <c r="H263" s="52"/>
      <c r="I263" s="252"/>
      <c r="J263" s="60">
        <f>SUM(J264:J265)</f>
        <v>0</v>
      </c>
      <c r="K263" s="60">
        <f aca="true" t="shared" si="31" ref="K263:X263">SUM(K264:K265)</f>
        <v>0</v>
      </c>
      <c r="L263" s="60">
        <f t="shared" si="31"/>
        <v>0</v>
      </c>
      <c r="M263" s="60">
        <f t="shared" si="31"/>
        <v>0</v>
      </c>
      <c r="N263" s="60">
        <f t="shared" si="31"/>
        <v>0</v>
      </c>
      <c r="O263" s="60">
        <f t="shared" si="31"/>
        <v>0</v>
      </c>
      <c r="P263" s="60">
        <f t="shared" si="31"/>
        <v>0</v>
      </c>
      <c r="Q263" s="60">
        <f t="shared" si="31"/>
        <v>0</v>
      </c>
      <c r="R263" s="60">
        <f t="shared" si="31"/>
        <v>0</v>
      </c>
      <c r="S263" s="60">
        <f t="shared" si="31"/>
        <v>0</v>
      </c>
      <c r="T263" s="60">
        <f t="shared" si="31"/>
        <v>0</v>
      </c>
      <c r="U263" s="60">
        <f t="shared" si="31"/>
        <v>0</v>
      </c>
      <c r="V263" s="60">
        <f t="shared" si="31"/>
        <v>0</v>
      </c>
      <c r="W263" s="60">
        <f t="shared" si="31"/>
        <v>0</v>
      </c>
      <c r="X263" s="60">
        <f t="shared" si="31"/>
        <v>0</v>
      </c>
      <c r="Y263" s="29">
        <f t="shared" si="27"/>
        <v>0</v>
      </c>
    </row>
    <row r="264" spans="1:25" ht="36" hidden="1">
      <c r="A264" s="293"/>
      <c r="B264" s="293"/>
      <c r="C264" s="293"/>
      <c r="D264" s="284"/>
      <c r="E264" s="28" t="s">
        <v>699</v>
      </c>
      <c r="F264" s="105">
        <f>J264</f>
        <v>0</v>
      </c>
      <c r="G264" s="114">
        <v>1</v>
      </c>
      <c r="H264" s="105">
        <f>J264</f>
        <v>0</v>
      </c>
      <c r="I264" s="222">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2" ref="W264:W339">J264-K264-L264-M264-N264-O264-P264-Q264-R264-S264-T264-U264-V264</f>
        <v>0</v>
      </c>
      <c r="X264" s="29"/>
      <c r="Y264" s="29">
        <f t="shared" si="27"/>
        <v>0</v>
      </c>
    </row>
    <row r="265" spans="1:25" ht="36" hidden="1">
      <c r="A265" s="293"/>
      <c r="B265" s="292"/>
      <c r="C265" s="293"/>
      <c r="D265" s="284"/>
      <c r="E265" s="28" t="s">
        <v>576</v>
      </c>
      <c r="F265" s="105">
        <f>J265</f>
        <v>0</v>
      </c>
      <c r="G265" s="114">
        <v>1</v>
      </c>
      <c r="H265" s="105">
        <f>J265</f>
        <v>0</v>
      </c>
      <c r="I265" s="222">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2"/>
        <v>0</v>
      </c>
      <c r="X265" s="29"/>
      <c r="Y265" s="29">
        <f t="shared" si="27"/>
        <v>0</v>
      </c>
    </row>
    <row r="266" spans="1:25" ht="18" hidden="1">
      <c r="A266" s="294" t="s">
        <v>840</v>
      </c>
      <c r="B266" s="41"/>
      <c r="C266" s="294" t="s">
        <v>841</v>
      </c>
      <c r="D266" s="283" t="s">
        <v>842</v>
      </c>
      <c r="E266" s="36"/>
      <c r="F266" s="36"/>
      <c r="G266" s="36"/>
      <c r="H266" s="36"/>
      <c r="I266" s="223"/>
      <c r="J266" s="39">
        <f>SUM(J267:J268)</f>
        <v>0</v>
      </c>
      <c r="K266" s="29"/>
      <c r="L266" s="29"/>
      <c r="M266" s="29"/>
      <c r="N266" s="29"/>
      <c r="O266" s="29"/>
      <c r="P266" s="29"/>
      <c r="Q266" s="29"/>
      <c r="R266" s="29"/>
      <c r="S266" s="29"/>
      <c r="T266" s="29"/>
      <c r="U266" s="29"/>
      <c r="V266" s="29"/>
      <c r="W266" s="29">
        <f t="shared" si="32"/>
        <v>0</v>
      </c>
      <c r="X266" s="29"/>
      <c r="Y266" s="29">
        <f t="shared" si="27"/>
        <v>0</v>
      </c>
    </row>
    <row r="267" spans="1:25" ht="18" hidden="1">
      <c r="A267" s="295"/>
      <c r="B267" s="42"/>
      <c r="C267" s="295"/>
      <c r="D267" s="284"/>
      <c r="E267" s="36"/>
      <c r="F267" s="36"/>
      <c r="G267" s="36"/>
      <c r="H267" s="36"/>
      <c r="I267" s="223"/>
      <c r="J267" s="40"/>
      <c r="K267" s="29"/>
      <c r="L267" s="29"/>
      <c r="M267" s="29"/>
      <c r="N267" s="29"/>
      <c r="O267" s="29"/>
      <c r="P267" s="29"/>
      <c r="Q267" s="29"/>
      <c r="R267" s="29"/>
      <c r="S267" s="29"/>
      <c r="T267" s="29"/>
      <c r="U267" s="29"/>
      <c r="V267" s="29"/>
      <c r="W267" s="29">
        <f t="shared" si="32"/>
        <v>0</v>
      </c>
      <c r="X267" s="29"/>
      <c r="Y267" s="29">
        <f t="shared" si="27"/>
        <v>0</v>
      </c>
    </row>
    <row r="268" spans="1:25" ht="18" hidden="1">
      <c r="A268" s="295"/>
      <c r="B268" s="42"/>
      <c r="C268" s="295"/>
      <c r="D268" s="284"/>
      <c r="E268" s="50"/>
      <c r="F268" s="50"/>
      <c r="G268" s="50"/>
      <c r="H268" s="50"/>
      <c r="I268" s="251"/>
      <c r="J268" s="47"/>
      <c r="K268" s="29"/>
      <c r="L268" s="29"/>
      <c r="M268" s="29"/>
      <c r="N268" s="29"/>
      <c r="O268" s="29"/>
      <c r="P268" s="29"/>
      <c r="Q268" s="29"/>
      <c r="R268" s="29"/>
      <c r="S268" s="29"/>
      <c r="T268" s="29"/>
      <c r="U268" s="29"/>
      <c r="V268" s="29"/>
      <c r="W268" s="29">
        <f t="shared" si="32"/>
        <v>0</v>
      </c>
      <c r="X268" s="29"/>
      <c r="Y268" s="29">
        <f t="shared" si="27"/>
        <v>0</v>
      </c>
    </row>
    <row r="269" spans="1:25" ht="18" hidden="1">
      <c r="A269" s="302" t="s">
        <v>843</v>
      </c>
      <c r="B269" s="44"/>
      <c r="C269" s="306" t="s">
        <v>841</v>
      </c>
      <c r="D269" s="297" t="s">
        <v>195</v>
      </c>
      <c r="E269" s="52"/>
      <c r="F269" s="52"/>
      <c r="G269" s="52"/>
      <c r="H269" s="52"/>
      <c r="I269" s="252"/>
      <c r="J269" s="53">
        <f>SUM(J270:J271)</f>
        <v>0</v>
      </c>
      <c r="K269" s="29"/>
      <c r="L269" s="29"/>
      <c r="M269" s="29"/>
      <c r="N269" s="29"/>
      <c r="O269" s="29"/>
      <c r="P269" s="29"/>
      <c r="Q269" s="29"/>
      <c r="R269" s="29"/>
      <c r="S269" s="29"/>
      <c r="T269" s="29"/>
      <c r="U269" s="29"/>
      <c r="V269" s="29"/>
      <c r="W269" s="29">
        <f t="shared" si="32"/>
        <v>0</v>
      </c>
      <c r="X269" s="29"/>
      <c r="Y269" s="29">
        <f t="shared" si="27"/>
        <v>0</v>
      </c>
    </row>
    <row r="270" spans="1:25" ht="18" hidden="1">
      <c r="A270" s="302"/>
      <c r="B270" s="44"/>
      <c r="C270" s="306"/>
      <c r="D270" s="297"/>
      <c r="E270" s="52"/>
      <c r="F270" s="52"/>
      <c r="G270" s="52"/>
      <c r="H270" s="52"/>
      <c r="I270" s="252"/>
      <c r="J270" s="54"/>
      <c r="K270" s="29"/>
      <c r="L270" s="29"/>
      <c r="M270" s="29"/>
      <c r="N270" s="29"/>
      <c r="O270" s="29"/>
      <c r="P270" s="29"/>
      <c r="Q270" s="29"/>
      <c r="R270" s="29"/>
      <c r="S270" s="29"/>
      <c r="T270" s="29"/>
      <c r="U270" s="29"/>
      <c r="V270" s="29"/>
      <c r="W270" s="29">
        <f t="shared" si="32"/>
        <v>0</v>
      </c>
      <c r="X270" s="29"/>
      <c r="Y270" s="29">
        <f t="shared" si="27"/>
        <v>0</v>
      </c>
    </row>
    <row r="271" spans="1:25" ht="18" hidden="1">
      <c r="A271" s="302"/>
      <c r="B271" s="44"/>
      <c r="C271" s="306"/>
      <c r="D271" s="297"/>
      <c r="E271" s="52"/>
      <c r="F271" s="52"/>
      <c r="G271" s="52"/>
      <c r="H271" s="52"/>
      <c r="I271" s="252"/>
      <c r="J271" s="54"/>
      <c r="K271" s="29"/>
      <c r="L271" s="29"/>
      <c r="M271" s="29"/>
      <c r="N271" s="29"/>
      <c r="O271" s="29"/>
      <c r="P271" s="29"/>
      <c r="Q271" s="29"/>
      <c r="R271" s="29"/>
      <c r="S271" s="29"/>
      <c r="T271" s="29"/>
      <c r="U271" s="29"/>
      <c r="V271" s="29"/>
      <c r="W271" s="29">
        <f t="shared" si="32"/>
        <v>0</v>
      </c>
      <c r="X271" s="29"/>
      <c r="Y271" s="29">
        <f t="shared" si="27"/>
        <v>0</v>
      </c>
    </row>
    <row r="272" spans="1:25" ht="18.75">
      <c r="A272" s="291" t="s">
        <v>1204</v>
      </c>
      <c r="B272" s="291" t="s">
        <v>481</v>
      </c>
      <c r="C272" s="291" t="s">
        <v>196</v>
      </c>
      <c r="D272" s="283" t="s">
        <v>492</v>
      </c>
      <c r="E272" s="55"/>
      <c r="F272" s="55"/>
      <c r="G272" s="55"/>
      <c r="H272" s="55"/>
      <c r="I272" s="253"/>
      <c r="J272" s="60">
        <f>SUM(J273:J274)</f>
        <v>134000</v>
      </c>
      <c r="K272" s="60">
        <f aca="true" t="shared" si="33" ref="K272:X272">SUM(K273:K274)</f>
        <v>0</v>
      </c>
      <c r="L272" s="60">
        <f t="shared" si="33"/>
        <v>0</v>
      </c>
      <c r="M272" s="60">
        <f t="shared" si="33"/>
        <v>0</v>
      </c>
      <c r="N272" s="60">
        <f t="shared" si="33"/>
        <v>0</v>
      </c>
      <c r="O272" s="60">
        <f t="shared" si="33"/>
        <v>0</v>
      </c>
      <c r="P272" s="60">
        <f t="shared" si="33"/>
        <v>0</v>
      </c>
      <c r="Q272" s="60">
        <f t="shared" si="33"/>
        <v>34000</v>
      </c>
      <c r="R272" s="60">
        <f t="shared" si="33"/>
        <v>100000</v>
      </c>
      <c r="S272" s="60">
        <f t="shared" si="33"/>
        <v>0</v>
      </c>
      <c r="T272" s="60">
        <f t="shared" si="33"/>
        <v>0</v>
      </c>
      <c r="U272" s="60">
        <f t="shared" si="33"/>
        <v>0</v>
      </c>
      <c r="V272" s="60">
        <f t="shared" si="33"/>
        <v>0</v>
      </c>
      <c r="W272" s="60">
        <f t="shared" si="33"/>
        <v>0</v>
      </c>
      <c r="X272" s="60">
        <f t="shared" si="33"/>
        <v>133990</v>
      </c>
      <c r="Y272" s="29">
        <f t="shared" si="27"/>
        <v>10</v>
      </c>
    </row>
    <row r="273" spans="1:25" ht="75">
      <c r="A273" s="293"/>
      <c r="B273" s="293"/>
      <c r="C273" s="293"/>
      <c r="D273" s="284"/>
      <c r="E273" s="52" t="s">
        <v>1134</v>
      </c>
      <c r="F273" s="55"/>
      <c r="G273" s="55"/>
      <c r="H273" s="55"/>
      <c r="I273" s="252">
        <v>3110</v>
      </c>
      <c r="J273" s="54">
        <f>20000+14000</f>
        <v>34000</v>
      </c>
      <c r="K273" s="29"/>
      <c r="L273" s="29"/>
      <c r="M273" s="29"/>
      <c r="N273" s="29"/>
      <c r="O273" s="29"/>
      <c r="P273" s="29"/>
      <c r="Q273" s="29">
        <v>34000</v>
      </c>
      <c r="R273" s="29"/>
      <c r="S273" s="29">
        <f>20000+14000-34000</f>
        <v>0</v>
      </c>
      <c r="T273" s="29"/>
      <c r="U273" s="29"/>
      <c r="V273" s="29"/>
      <c r="W273" s="29">
        <f t="shared" si="32"/>
        <v>0</v>
      </c>
      <c r="X273" s="29">
        <f>33990</f>
        <v>33990</v>
      </c>
      <c r="Y273" s="29">
        <f t="shared" si="27"/>
        <v>10</v>
      </c>
    </row>
    <row r="274" spans="1:25" ht="75">
      <c r="A274" s="49"/>
      <c r="B274" s="49"/>
      <c r="C274" s="49"/>
      <c r="D274" s="272"/>
      <c r="E274" s="52" t="s">
        <v>466</v>
      </c>
      <c r="F274" s="55"/>
      <c r="G274" s="55"/>
      <c r="H274" s="55"/>
      <c r="I274" s="252">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9">
        <f t="shared" si="27"/>
        <v>0</v>
      </c>
    </row>
    <row r="275" spans="1:25" ht="18.75">
      <c r="A275" s="294" t="s">
        <v>493</v>
      </c>
      <c r="B275" s="294" t="s">
        <v>1138</v>
      </c>
      <c r="C275" s="294" t="s">
        <v>721</v>
      </c>
      <c r="D275" s="283" t="s">
        <v>197</v>
      </c>
      <c r="E275" s="36"/>
      <c r="F275" s="36"/>
      <c r="G275" s="36"/>
      <c r="H275" s="36"/>
      <c r="I275" s="223"/>
      <c r="J275" s="16">
        <f>SUM(J276:J286)</f>
        <v>2371600</v>
      </c>
      <c r="K275" s="16">
        <f aca="true" t="shared" si="34" ref="K275:X275">SUM(K276:K286)</f>
        <v>0</v>
      </c>
      <c r="L275" s="16">
        <f t="shared" si="34"/>
        <v>0</v>
      </c>
      <c r="M275" s="16">
        <f t="shared" si="34"/>
        <v>0</v>
      </c>
      <c r="N275" s="16">
        <f t="shared" si="34"/>
        <v>0</v>
      </c>
      <c r="O275" s="16">
        <f t="shared" si="34"/>
        <v>0</v>
      </c>
      <c r="P275" s="16">
        <f t="shared" si="34"/>
        <v>3000</v>
      </c>
      <c r="Q275" s="16">
        <f t="shared" si="34"/>
        <v>490600</v>
      </c>
      <c r="R275" s="16">
        <f t="shared" si="34"/>
        <v>410000</v>
      </c>
      <c r="S275" s="16">
        <f t="shared" si="34"/>
        <v>229000</v>
      </c>
      <c r="T275" s="16">
        <f t="shared" si="34"/>
        <v>331000</v>
      </c>
      <c r="U275" s="16">
        <f t="shared" si="34"/>
        <v>536000</v>
      </c>
      <c r="V275" s="16">
        <f t="shared" si="34"/>
        <v>372000</v>
      </c>
      <c r="W275" s="16">
        <f t="shared" si="34"/>
        <v>0</v>
      </c>
      <c r="X275" s="16">
        <f t="shared" si="34"/>
        <v>731759.89</v>
      </c>
      <c r="Y275" s="29">
        <f t="shared" si="27"/>
        <v>731840.11</v>
      </c>
    </row>
    <row r="276" spans="1:25" ht="37.5">
      <c r="A276" s="295"/>
      <c r="B276" s="295"/>
      <c r="C276" s="295"/>
      <c r="D276" s="284"/>
      <c r="E276" s="36" t="s">
        <v>577</v>
      </c>
      <c r="F276" s="36"/>
      <c r="G276" s="36"/>
      <c r="H276" s="36"/>
      <c r="I276" s="223">
        <v>3110</v>
      </c>
      <c r="J276" s="54">
        <f>50000-14000</f>
        <v>36000</v>
      </c>
      <c r="K276" s="29"/>
      <c r="L276" s="29"/>
      <c r="M276" s="54"/>
      <c r="N276" s="29"/>
      <c r="O276" s="29"/>
      <c r="P276" s="29"/>
      <c r="Q276" s="29"/>
      <c r="R276" s="29"/>
      <c r="S276" s="29">
        <f>50000-14000</f>
        <v>36000</v>
      </c>
      <c r="T276" s="29"/>
      <c r="U276" s="29"/>
      <c r="V276" s="29"/>
      <c r="W276" s="29">
        <f t="shared" si="32"/>
        <v>0</v>
      </c>
      <c r="X276" s="29">
        <f>20000+6749.68</f>
        <v>26749.68</v>
      </c>
      <c r="Y276" s="29">
        <f t="shared" si="27"/>
        <v>9250.32</v>
      </c>
    </row>
    <row r="277" spans="1:25" ht="36" customHeight="1" hidden="1">
      <c r="A277" s="295"/>
      <c r="B277" s="295"/>
      <c r="C277" s="295"/>
      <c r="D277" s="284"/>
      <c r="E277" s="36" t="s">
        <v>578</v>
      </c>
      <c r="F277" s="105">
        <f>J277</f>
        <v>0</v>
      </c>
      <c r="G277" s="114">
        <v>1</v>
      </c>
      <c r="H277" s="105">
        <f aca="true" t="shared" si="35" ref="H277:H286">J277</f>
        <v>0</v>
      </c>
      <c r="I277" s="222">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9">
        <f t="shared" si="27"/>
        <v>0</v>
      </c>
    </row>
    <row r="278" spans="1:25" ht="36" hidden="1">
      <c r="A278" s="295"/>
      <c r="B278" s="295"/>
      <c r="C278" s="295"/>
      <c r="D278" s="284"/>
      <c r="E278" s="36" t="s">
        <v>579</v>
      </c>
      <c r="F278" s="105">
        <f aca="true" t="shared" si="36" ref="F278:F286">J278</f>
        <v>0</v>
      </c>
      <c r="G278" s="114">
        <v>1</v>
      </c>
      <c r="H278" s="105">
        <f t="shared" si="35"/>
        <v>0</v>
      </c>
      <c r="I278" s="222">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9">
        <f t="shared" si="27"/>
        <v>0</v>
      </c>
    </row>
    <row r="279" spans="1:25" ht="44.25" customHeight="1" hidden="1">
      <c r="A279" s="295"/>
      <c r="B279" s="295"/>
      <c r="C279" s="295"/>
      <c r="D279" s="284"/>
      <c r="E279" s="36" t="s">
        <v>580</v>
      </c>
      <c r="F279" s="105">
        <f t="shared" si="36"/>
        <v>0</v>
      </c>
      <c r="G279" s="114">
        <v>1</v>
      </c>
      <c r="H279" s="105">
        <f t="shared" si="35"/>
        <v>0</v>
      </c>
      <c r="I279" s="222">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9">
        <f t="shared" si="27"/>
        <v>0</v>
      </c>
    </row>
    <row r="280" spans="1:25" ht="44.25" customHeight="1">
      <c r="A280" s="295"/>
      <c r="B280" s="295"/>
      <c r="C280" s="295"/>
      <c r="D280" s="284"/>
      <c r="E280" s="36" t="s">
        <v>465</v>
      </c>
      <c r="F280" s="105"/>
      <c r="G280" s="114"/>
      <c r="H280" s="105"/>
      <c r="I280" s="222">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f>
        <v>99405</v>
      </c>
      <c r="Y280" s="29">
        <f t="shared" si="27"/>
        <v>65595</v>
      </c>
    </row>
    <row r="281" spans="1:25" ht="37.5">
      <c r="A281" s="295"/>
      <c r="B281" s="295"/>
      <c r="C281" s="295"/>
      <c r="D281" s="284"/>
      <c r="E281" s="36" t="s">
        <v>581</v>
      </c>
      <c r="F281" s="105">
        <f t="shared" si="36"/>
        <v>410600</v>
      </c>
      <c r="G281" s="114">
        <v>1</v>
      </c>
      <c r="H281" s="105">
        <f t="shared" si="35"/>
        <v>410600</v>
      </c>
      <c r="I281" s="222">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2"/>
        <v>0</v>
      </c>
      <c r="X281" s="29">
        <f>39830.31</f>
        <v>39830.31</v>
      </c>
      <c r="Y281" s="29">
        <f t="shared" si="27"/>
        <v>129769.69</v>
      </c>
    </row>
    <row r="282" spans="1:25" ht="75">
      <c r="A282" s="295"/>
      <c r="B282" s="295"/>
      <c r="C282" s="295"/>
      <c r="D282" s="284"/>
      <c r="E282" s="36" t="s">
        <v>331</v>
      </c>
      <c r="F282" s="105"/>
      <c r="G282" s="114"/>
      <c r="H282" s="105"/>
      <c r="I282" s="222">
        <v>3132</v>
      </c>
      <c r="J282" s="54">
        <v>240000</v>
      </c>
      <c r="K282" s="29"/>
      <c r="L282" s="29"/>
      <c r="M282" s="29"/>
      <c r="N282" s="29"/>
      <c r="O282" s="29"/>
      <c r="P282" s="29"/>
      <c r="Q282" s="29"/>
      <c r="R282" s="29"/>
      <c r="S282" s="29">
        <f>120000</f>
        <v>120000</v>
      </c>
      <c r="T282" s="29"/>
      <c r="U282" s="29"/>
      <c r="V282" s="29">
        <f>240000-120000</f>
        <v>120000</v>
      </c>
      <c r="W282" s="29">
        <f t="shared" si="32"/>
        <v>0</v>
      </c>
      <c r="X282" s="29">
        <f>119834</f>
        <v>119834</v>
      </c>
      <c r="Y282" s="29">
        <f t="shared" si="27"/>
        <v>166</v>
      </c>
    </row>
    <row r="283" spans="1:25" ht="56.25">
      <c r="A283" s="295"/>
      <c r="B283" s="295"/>
      <c r="C283" s="295"/>
      <c r="D283" s="284"/>
      <c r="E283" s="36" t="s">
        <v>787</v>
      </c>
      <c r="F283" s="105"/>
      <c r="G283" s="114"/>
      <c r="H283" s="105"/>
      <c r="I283" s="222">
        <v>3132</v>
      </c>
      <c r="J283" s="54">
        <v>150000</v>
      </c>
      <c r="K283" s="29"/>
      <c r="L283" s="29"/>
      <c r="M283" s="29"/>
      <c r="N283" s="29"/>
      <c r="O283" s="29"/>
      <c r="P283" s="29"/>
      <c r="Q283" s="29"/>
      <c r="R283" s="29"/>
      <c r="S283" s="29">
        <v>73000</v>
      </c>
      <c r="T283" s="29"/>
      <c r="U283" s="29"/>
      <c r="V283" s="29">
        <f>150000-73000</f>
        <v>77000</v>
      </c>
      <c r="W283" s="29">
        <f t="shared" si="32"/>
        <v>0</v>
      </c>
      <c r="X283" s="29">
        <f>68345.4</f>
        <v>68345.4</v>
      </c>
      <c r="Y283" s="29">
        <f t="shared" si="27"/>
        <v>4654.600000000006</v>
      </c>
    </row>
    <row r="284" spans="1:25" ht="75">
      <c r="A284" s="295"/>
      <c r="B284" s="295"/>
      <c r="C284" s="295"/>
      <c r="D284" s="284"/>
      <c r="E284" s="36" t="s">
        <v>1174</v>
      </c>
      <c r="F284" s="105">
        <f t="shared" si="36"/>
        <v>1300000</v>
      </c>
      <c r="G284" s="114">
        <v>1</v>
      </c>
      <c r="H284" s="105">
        <f t="shared" si="35"/>
        <v>1300000</v>
      </c>
      <c r="I284" s="222">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2"/>
        <v>0</v>
      </c>
      <c r="X284" s="29">
        <f>57573.2+320022.3</f>
        <v>377595.5</v>
      </c>
      <c r="Y284" s="29">
        <f t="shared" si="27"/>
        <v>522404.5</v>
      </c>
    </row>
    <row r="285" spans="1:25" ht="63" customHeight="1" hidden="1">
      <c r="A285" s="295"/>
      <c r="B285" s="295"/>
      <c r="C285" s="295"/>
      <c r="D285" s="284"/>
      <c r="E285" s="36" t="s">
        <v>377</v>
      </c>
      <c r="F285" s="105">
        <f t="shared" si="36"/>
        <v>0</v>
      </c>
      <c r="G285" s="114">
        <v>1</v>
      </c>
      <c r="H285" s="105">
        <f t="shared" si="35"/>
        <v>0</v>
      </c>
      <c r="I285" s="222">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2"/>
        <v>0</v>
      </c>
      <c r="X285" s="29"/>
      <c r="Y285" s="29">
        <f t="shared" si="27"/>
        <v>0</v>
      </c>
    </row>
    <row r="286" spans="1:25" ht="54" hidden="1">
      <c r="A286" s="295"/>
      <c r="B286" s="296"/>
      <c r="C286" s="295"/>
      <c r="D286" s="284"/>
      <c r="E286" s="36" t="s">
        <v>378</v>
      </c>
      <c r="F286" s="105">
        <f t="shared" si="36"/>
        <v>0</v>
      </c>
      <c r="G286" s="114">
        <v>1</v>
      </c>
      <c r="H286" s="105">
        <f t="shared" si="35"/>
        <v>0</v>
      </c>
      <c r="I286" s="222">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2"/>
        <v>0</v>
      </c>
      <c r="X286" s="29"/>
      <c r="Y286" s="29">
        <f t="shared" si="27"/>
        <v>0</v>
      </c>
    </row>
    <row r="287" spans="1:25" ht="18" hidden="1">
      <c r="A287" s="294" t="s">
        <v>198</v>
      </c>
      <c r="B287" s="41"/>
      <c r="C287" s="294" t="s">
        <v>199</v>
      </c>
      <c r="D287" s="283" t="s">
        <v>200</v>
      </c>
      <c r="E287" s="36"/>
      <c r="F287" s="36"/>
      <c r="G287" s="36"/>
      <c r="H287" s="36"/>
      <c r="I287" s="223"/>
      <c r="J287" s="39">
        <f>SUM(J288:J288)</f>
        <v>0</v>
      </c>
      <c r="K287" s="29"/>
      <c r="L287" s="29"/>
      <c r="M287" s="29"/>
      <c r="N287" s="29"/>
      <c r="O287" s="29"/>
      <c r="P287" s="29"/>
      <c r="Q287" s="29"/>
      <c r="R287" s="29"/>
      <c r="S287" s="29"/>
      <c r="T287" s="29"/>
      <c r="U287" s="29"/>
      <c r="V287" s="29"/>
      <c r="W287" s="29">
        <f t="shared" si="32"/>
        <v>0</v>
      </c>
      <c r="X287" s="29"/>
      <c r="Y287" s="29">
        <f t="shared" si="27"/>
        <v>0</v>
      </c>
    </row>
    <row r="288" spans="1:25" ht="18" hidden="1">
      <c r="A288" s="296"/>
      <c r="B288" s="56"/>
      <c r="C288" s="296"/>
      <c r="D288" s="301"/>
      <c r="E288" s="36"/>
      <c r="F288" s="36"/>
      <c r="G288" s="36"/>
      <c r="H288" s="36"/>
      <c r="I288" s="223"/>
      <c r="J288" s="57"/>
      <c r="K288" s="29"/>
      <c r="L288" s="29"/>
      <c r="M288" s="29"/>
      <c r="N288" s="29"/>
      <c r="O288" s="29"/>
      <c r="P288" s="29"/>
      <c r="Q288" s="29"/>
      <c r="R288" s="29"/>
      <c r="S288" s="29"/>
      <c r="T288" s="29"/>
      <c r="U288" s="29"/>
      <c r="V288" s="29"/>
      <c r="W288" s="29">
        <f t="shared" si="32"/>
        <v>0</v>
      </c>
      <c r="X288" s="29"/>
      <c r="Y288" s="29">
        <f aca="true" t="shared" si="37" ref="Y288:Y354">K288+L288+M288+N288+O288+P288+Q288+R288+S288+T288-X288</f>
        <v>0</v>
      </c>
    </row>
    <row r="289" spans="1:25" ht="18.75" customHeight="1">
      <c r="A289" s="294" t="s">
        <v>897</v>
      </c>
      <c r="B289" s="294" t="s">
        <v>1139</v>
      </c>
      <c r="C289" s="294" t="s">
        <v>201</v>
      </c>
      <c r="D289" s="283" t="s">
        <v>939</v>
      </c>
      <c r="E289" s="36"/>
      <c r="F289" s="36"/>
      <c r="G289" s="36"/>
      <c r="H289" s="36"/>
      <c r="I289" s="223"/>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702265.3</v>
      </c>
      <c r="U289" s="16">
        <f t="shared" si="38"/>
        <v>498000</v>
      </c>
      <c r="V289" s="16">
        <f t="shared" si="38"/>
        <v>3054631.5</v>
      </c>
      <c r="W289" s="16">
        <f t="shared" si="38"/>
        <v>0</v>
      </c>
      <c r="X289" s="16">
        <f t="shared" si="38"/>
        <v>4019607.91</v>
      </c>
      <c r="Y289" s="29">
        <f t="shared" si="37"/>
        <v>6499760.59</v>
      </c>
    </row>
    <row r="290" spans="1:25" ht="37.5">
      <c r="A290" s="295"/>
      <c r="B290" s="295"/>
      <c r="C290" s="295"/>
      <c r="D290" s="284"/>
      <c r="E290" s="36" t="s">
        <v>1245</v>
      </c>
      <c r="F290" s="36"/>
      <c r="G290" s="36"/>
      <c r="H290" s="36"/>
      <c r="I290" s="223">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2"/>
        <v>0</v>
      </c>
      <c r="X290" s="29">
        <f>100000</f>
        <v>100000</v>
      </c>
      <c r="Y290" s="29">
        <f t="shared" si="37"/>
        <v>0</v>
      </c>
    </row>
    <row r="291" spans="1:25" ht="112.5">
      <c r="A291" s="295"/>
      <c r="B291" s="295"/>
      <c r="C291" s="295"/>
      <c r="D291" s="284"/>
      <c r="E291" s="36" t="s">
        <v>460</v>
      </c>
      <c r="F291" s="36"/>
      <c r="G291" s="36"/>
      <c r="H291" s="36"/>
      <c r="I291" s="223">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9">
        <f t="shared" si="37"/>
        <v>4590000</v>
      </c>
    </row>
    <row r="292" spans="1:25" ht="37.5">
      <c r="A292" s="295"/>
      <c r="B292" s="295"/>
      <c r="C292" s="295"/>
      <c r="D292" s="284"/>
      <c r="E292" s="36" t="s">
        <v>1230</v>
      </c>
      <c r="F292" s="36"/>
      <c r="G292" s="36"/>
      <c r="H292" s="36"/>
      <c r="I292" s="223">
        <v>3110</v>
      </c>
      <c r="J292" s="40">
        <v>150000</v>
      </c>
      <c r="K292" s="29"/>
      <c r="L292" s="29"/>
      <c r="M292" s="29"/>
      <c r="N292" s="29"/>
      <c r="O292" s="29"/>
      <c r="P292" s="29"/>
      <c r="Q292" s="29"/>
      <c r="R292" s="29"/>
      <c r="S292" s="40">
        <v>50000</v>
      </c>
      <c r="T292" s="29"/>
      <c r="U292" s="29">
        <v>100000</v>
      </c>
      <c r="V292" s="29"/>
      <c r="W292" s="29">
        <f t="shared" si="32"/>
        <v>0</v>
      </c>
      <c r="X292" s="29"/>
      <c r="Y292" s="29">
        <f t="shared" si="37"/>
        <v>50000</v>
      </c>
    </row>
    <row r="293" spans="1:25" ht="93.75">
      <c r="A293" s="295"/>
      <c r="B293" s="295"/>
      <c r="C293" s="295"/>
      <c r="D293" s="284"/>
      <c r="E293" s="36" t="s">
        <v>691</v>
      </c>
      <c r="F293" s="36"/>
      <c r="G293" s="36"/>
      <c r="H293" s="36"/>
      <c r="I293" s="223">
        <v>3132</v>
      </c>
      <c r="J293" s="40">
        <f>515000</f>
        <v>515000</v>
      </c>
      <c r="K293" s="29"/>
      <c r="L293" s="29"/>
      <c r="M293" s="29"/>
      <c r="N293" s="29"/>
      <c r="O293" s="29"/>
      <c r="P293" s="29"/>
      <c r="Q293" s="29"/>
      <c r="R293" s="29"/>
      <c r="S293" s="40"/>
      <c r="T293" s="29">
        <f>515000</f>
        <v>515000</v>
      </c>
      <c r="U293" s="29"/>
      <c r="V293" s="29"/>
      <c r="W293" s="29">
        <f t="shared" si="32"/>
        <v>0</v>
      </c>
      <c r="X293" s="29"/>
      <c r="Y293" s="29">
        <f t="shared" si="37"/>
        <v>515000</v>
      </c>
    </row>
    <row r="294" spans="1:25" ht="75">
      <c r="A294" s="295"/>
      <c r="B294" s="295"/>
      <c r="C294" s="295"/>
      <c r="D294" s="284"/>
      <c r="E294" s="36" t="s">
        <v>739</v>
      </c>
      <c r="F294" s="105">
        <f>J294</f>
        <v>694000</v>
      </c>
      <c r="G294" s="114">
        <v>1</v>
      </c>
      <c r="H294" s="105">
        <f>J294</f>
        <v>694000</v>
      </c>
      <c r="I294" s="222">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2"/>
        <v>0</v>
      </c>
      <c r="X294" s="29"/>
      <c r="Y294" s="29">
        <f t="shared" si="37"/>
        <v>420000</v>
      </c>
    </row>
    <row r="295" spans="1:25" ht="93.75">
      <c r="A295" s="295"/>
      <c r="B295" s="295"/>
      <c r="C295" s="295"/>
      <c r="D295" s="284"/>
      <c r="E295" s="36" t="s">
        <v>692</v>
      </c>
      <c r="F295" s="105"/>
      <c r="G295" s="114"/>
      <c r="H295" s="105"/>
      <c r="I295" s="222">
        <v>3132</v>
      </c>
      <c r="J295" s="40">
        <f>515000</f>
        <v>515000</v>
      </c>
      <c r="K295" s="29"/>
      <c r="L295" s="29"/>
      <c r="M295" s="29"/>
      <c r="N295" s="29"/>
      <c r="O295" s="29"/>
      <c r="P295" s="29"/>
      <c r="Q295" s="29"/>
      <c r="R295" s="29"/>
      <c r="S295" s="29"/>
      <c r="T295" s="29">
        <f>515000</f>
        <v>515000</v>
      </c>
      <c r="U295" s="29"/>
      <c r="V295" s="29"/>
      <c r="W295" s="29">
        <f t="shared" si="32"/>
        <v>0</v>
      </c>
      <c r="X295" s="29"/>
      <c r="Y295" s="29">
        <f t="shared" si="37"/>
        <v>515000</v>
      </c>
    </row>
    <row r="296" spans="1:25" ht="75">
      <c r="A296" s="295"/>
      <c r="B296" s="295"/>
      <c r="C296" s="295"/>
      <c r="D296" s="284"/>
      <c r="E296" s="52" t="s">
        <v>958</v>
      </c>
      <c r="F296" s="105">
        <f>J296</f>
        <v>7108000</v>
      </c>
      <c r="G296" s="114">
        <v>1</v>
      </c>
      <c r="H296" s="105">
        <f>J296</f>
        <v>7108000</v>
      </c>
      <c r="I296" s="222">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600000-385000-215000+94265.3-342000</f>
        <v>-247734.7</v>
      </c>
      <c r="U296" s="29">
        <f>100000-100000+60000+206646.2+73353.8</f>
        <v>340000</v>
      </c>
      <c r="V296" s="29">
        <f>400000+60000+409000+1867631.5</f>
        <v>2736631.5</v>
      </c>
      <c r="W296" s="29">
        <f t="shared" si="32"/>
        <v>0</v>
      </c>
      <c r="X296" s="29">
        <f>885000+599832+499435.2+512474.4+409208.1+696651.6+25967.31</f>
        <v>3628568.6100000003</v>
      </c>
      <c r="Y296" s="29">
        <f t="shared" si="37"/>
        <v>402799.88999999966</v>
      </c>
    </row>
    <row r="297" spans="1:25" ht="112.5">
      <c r="A297" s="295"/>
      <c r="B297" s="295"/>
      <c r="C297" s="295"/>
      <c r="D297" s="284"/>
      <c r="E297" s="173" t="s">
        <v>930</v>
      </c>
      <c r="F297" s="105">
        <f>J297</f>
        <v>150000</v>
      </c>
      <c r="G297" s="114">
        <v>1</v>
      </c>
      <c r="H297" s="105">
        <f>J297</f>
        <v>150000</v>
      </c>
      <c r="I297" s="222">
        <v>3132</v>
      </c>
      <c r="J297" s="54">
        <v>150000</v>
      </c>
      <c r="K297" s="29"/>
      <c r="L297" s="29"/>
      <c r="M297" s="29"/>
      <c r="N297" s="29"/>
      <c r="O297" s="29">
        <v>110000</v>
      </c>
      <c r="P297" s="29"/>
      <c r="Q297" s="29"/>
      <c r="R297" s="29"/>
      <c r="S297" s="29"/>
      <c r="T297" s="29">
        <f>70000-70000</f>
        <v>0</v>
      </c>
      <c r="U297" s="29"/>
      <c r="V297" s="29">
        <f>80000-40000</f>
        <v>40000</v>
      </c>
      <c r="W297" s="29">
        <f t="shared" si="32"/>
        <v>0</v>
      </c>
      <c r="X297" s="29">
        <f>103040.28</f>
        <v>103040.28</v>
      </c>
      <c r="Y297" s="29">
        <f t="shared" si="37"/>
        <v>6959.720000000001</v>
      </c>
    </row>
    <row r="298" spans="1:25" ht="56.25">
      <c r="A298" s="296"/>
      <c r="B298" s="296"/>
      <c r="C298" s="296"/>
      <c r="D298" s="301"/>
      <c r="E298" s="43" t="s">
        <v>670</v>
      </c>
      <c r="F298" s="105">
        <f>J298</f>
        <v>250000</v>
      </c>
      <c r="G298" s="114">
        <v>1</v>
      </c>
      <c r="H298" s="105">
        <f>J298</f>
        <v>250000</v>
      </c>
      <c r="I298" s="222">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2"/>
        <v>0</v>
      </c>
      <c r="X298" s="29">
        <f>137500.44+2006.58+48492</f>
        <v>187999.02</v>
      </c>
      <c r="Y298" s="29">
        <f t="shared" si="37"/>
        <v>0.9800000000104774</v>
      </c>
    </row>
    <row r="299" spans="1:25" ht="18.75">
      <c r="A299" s="294" t="s">
        <v>898</v>
      </c>
      <c r="B299" s="294" t="s">
        <v>1140</v>
      </c>
      <c r="C299" s="294" t="s">
        <v>201</v>
      </c>
      <c r="D299" s="283" t="s">
        <v>1126</v>
      </c>
      <c r="E299" s="36"/>
      <c r="F299" s="36"/>
      <c r="G299" s="36"/>
      <c r="H299" s="36"/>
      <c r="I299" s="223"/>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9">
        <f t="shared" si="37"/>
        <v>0</v>
      </c>
    </row>
    <row r="300" spans="1:25" ht="75">
      <c r="A300" s="295"/>
      <c r="B300" s="295"/>
      <c r="C300" s="295"/>
      <c r="D300" s="284"/>
      <c r="E300" s="52" t="s">
        <v>733</v>
      </c>
      <c r="F300" s="52"/>
      <c r="G300" s="52"/>
      <c r="H300" s="52"/>
      <c r="I300" s="252">
        <v>3110</v>
      </c>
      <c r="J300" s="40">
        <f>700000-3000</f>
        <v>697000</v>
      </c>
      <c r="K300" s="29"/>
      <c r="L300" s="29"/>
      <c r="M300" s="29">
        <v>697000</v>
      </c>
      <c r="N300" s="29"/>
      <c r="O300" s="29"/>
      <c r="P300" s="29"/>
      <c r="Q300" s="29"/>
      <c r="R300" s="29"/>
      <c r="S300" s="29"/>
      <c r="T300" s="29"/>
      <c r="U300" s="29"/>
      <c r="V300" s="29"/>
      <c r="W300" s="29">
        <f t="shared" si="32"/>
        <v>0</v>
      </c>
      <c r="X300" s="29">
        <v>697000</v>
      </c>
      <c r="Y300" s="29">
        <f t="shared" si="37"/>
        <v>0</v>
      </c>
    </row>
    <row r="301" spans="1:25" ht="18" hidden="1">
      <c r="A301" s="295"/>
      <c r="B301" s="42"/>
      <c r="C301" s="295"/>
      <c r="D301" s="284"/>
      <c r="E301" s="52"/>
      <c r="F301" s="52"/>
      <c r="G301" s="52"/>
      <c r="H301" s="52"/>
      <c r="I301" s="252"/>
      <c r="J301" s="40"/>
      <c r="K301" s="29"/>
      <c r="L301" s="29"/>
      <c r="M301" s="29"/>
      <c r="N301" s="29"/>
      <c r="O301" s="29"/>
      <c r="P301" s="29"/>
      <c r="Q301" s="29"/>
      <c r="R301" s="29"/>
      <c r="S301" s="29"/>
      <c r="T301" s="29"/>
      <c r="U301" s="29"/>
      <c r="V301" s="29"/>
      <c r="W301" s="29">
        <f t="shared" si="32"/>
        <v>0</v>
      </c>
      <c r="X301" s="29"/>
      <c r="Y301" s="29">
        <f t="shared" si="37"/>
        <v>0</v>
      </c>
    </row>
    <row r="302" spans="1:25" ht="18" hidden="1">
      <c r="A302" s="295"/>
      <c r="B302" s="42"/>
      <c r="C302" s="295"/>
      <c r="D302" s="284"/>
      <c r="E302" s="52"/>
      <c r="F302" s="52"/>
      <c r="G302" s="52"/>
      <c r="H302" s="52"/>
      <c r="I302" s="252"/>
      <c r="J302" s="40"/>
      <c r="K302" s="29"/>
      <c r="L302" s="29"/>
      <c r="M302" s="29"/>
      <c r="N302" s="29"/>
      <c r="O302" s="29"/>
      <c r="P302" s="29"/>
      <c r="Q302" s="29"/>
      <c r="R302" s="29"/>
      <c r="S302" s="29"/>
      <c r="T302" s="29"/>
      <c r="U302" s="29"/>
      <c r="V302" s="29"/>
      <c r="W302" s="29">
        <f t="shared" si="32"/>
        <v>0</v>
      </c>
      <c r="X302" s="29"/>
      <c r="Y302" s="29">
        <f t="shared" si="37"/>
        <v>0</v>
      </c>
    </row>
    <row r="303" spans="1:25" ht="18.75">
      <c r="A303" s="294" t="s">
        <v>1141</v>
      </c>
      <c r="B303" s="294" t="s">
        <v>1148</v>
      </c>
      <c r="C303" s="294" t="s">
        <v>222</v>
      </c>
      <c r="D303" s="283" t="s">
        <v>903</v>
      </c>
      <c r="E303" s="36"/>
      <c r="F303" s="36"/>
      <c r="G303" s="36"/>
      <c r="H303" s="36"/>
      <c r="I303" s="223"/>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3009099.17</v>
      </c>
      <c r="U303" s="16">
        <f t="shared" si="40"/>
        <v>6350597.73</v>
      </c>
      <c r="V303" s="16">
        <f t="shared" si="40"/>
        <v>11445261.3</v>
      </c>
      <c r="W303" s="16">
        <f t="shared" si="40"/>
        <v>0</v>
      </c>
      <c r="X303" s="16">
        <f t="shared" si="40"/>
        <v>26647573.99999999</v>
      </c>
      <c r="Y303" s="29">
        <f t="shared" si="37"/>
        <v>4648166.97000001</v>
      </c>
    </row>
    <row r="304" spans="1:25" ht="37.5">
      <c r="A304" s="295"/>
      <c r="B304" s="295"/>
      <c r="C304" s="295"/>
      <c r="D304" s="284"/>
      <c r="E304" s="36" t="s">
        <v>752</v>
      </c>
      <c r="F304" s="105">
        <f>J304</f>
        <v>1470000</v>
      </c>
      <c r="G304" s="114">
        <v>1</v>
      </c>
      <c r="H304" s="105">
        <f aca="true" t="shared" si="41" ref="H304:H400">J304</f>
        <v>1470000</v>
      </c>
      <c r="I304" s="222">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2"/>
        <v>0</v>
      </c>
      <c r="X304" s="29">
        <f>2140.8+716250.5+307896.23</f>
        <v>1026287.53</v>
      </c>
      <c r="Y304" s="29">
        <f t="shared" si="37"/>
        <v>112712.46999999997</v>
      </c>
    </row>
    <row r="305" spans="1:25" ht="23.25" customHeight="1">
      <c r="A305" s="295"/>
      <c r="B305" s="295"/>
      <c r="C305" s="295"/>
      <c r="D305" s="284"/>
      <c r="E305" s="36" t="s">
        <v>322</v>
      </c>
      <c r="F305" s="105">
        <f>J305</f>
        <v>100000</v>
      </c>
      <c r="G305" s="114">
        <v>1</v>
      </c>
      <c r="H305" s="105">
        <f>J305</f>
        <v>100000</v>
      </c>
      <c r="I305" s="222">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2"/>
        <v>0</v>
      </c>
      <c r="X305" s="29">
        <f>49102.5+49102.5</f>
        <v>98205</v>
      </c>
      <c r="Y305" s="29">
        <f t="shared" si="37"/>
        <v>1795</v>
      </c>
    </row>
    <row r="306" spans="1:25" ht="24.75" customHeight="1">
      <c r="A306" s="295"/>
      <c r="B306" s="295"/>
      <c r="C306" s="295"/>
      <c r="D306" s="284"/>
      <c r="E306" s="36" t="s">
        <v>834</v>
      </c>
      <c r="F306" s="160">
        <f>J306</f>
        <v>750000</v>
      </c>
      <c r="G306" s="114">
        <v>1</v>
      </c>
      <c r="H306" s="160">
        <f>J306</f>
        <v>750000</v>
      </c>
      <c r="I306" s="231">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2"/>
        <v>0</v>
      </c>
      <c r="X306" s="29">
        <f>370790+6443.56</f>
        <v>377233.56</v>
      </c>
      <c r="Y306" s="29">
        <f t="shared" si="37"/>
        <v>166566.44</v>
      </c>
    </row>
    <row r="307" spans="1:25" ht="22.5" customHeight="1">
      <c r="A307" s="295"/>
      <c r="B307" s="295"/>
      <c r="C307" s="295"/>
      <c r="D307" s="284"/>
      <c r="E307" s="36" t="s">
        <v>753</v>
      </c>
      <c r="F307" s="105">
        <f aca="true" t="shared" si="42" ref="F307:F365">J307</f>
        <v>700000</v>
      </c>
      <c r="G307" s="114">
        <v>1</v>
      </c>
      <c r="H307" s="105">
        <f t="shared" si="41"/>
        <v>700000</v>
      </c>
      <c r="I307" s="222">
        <v>3142</v>
      </c>
      <c r="J307" s="40">
        <v>700000</v>
      </c>
      <c r="K307" s="29"/>
      <c r="L307" s="29"/>
      <c r="M307" s="29"/>
      <c r="N307" s="29"/>
      <c r="O307" s="29"/>
      <c r="P307" s="29"/>
      <c r="Q307" s="29">
        <f>100000-100000</f>
        <v>0</v>
      </c>
      <c r="R307" s="29">
        <f>100000-60000</f>
        <v>40000</v>
      </c>
      <c r="S307" s="29">
        <f>217000+143000</f>
        <v>360000</v>
      </c>
      <c r="T307" s="29">
        <f>83000+60000-143000</f>
        <v>0</v>
      </c>
      <c r="U307" s="29">
        <f>100000+56000</f>
        <v>156000</v>
      </c>
      <c r="V307" s="29">
        <f>100000+44000</f>
        <v>144000</v>
      </c>
      <c r="W307" s="29">
        <f t="shared" si="32"/>
        <v>0</v>
      </c>
      <c r="X307" s="29">
        <f>326022.5+34706.2</f>
        <v>360728.7</v>
      </c>
      <c r="Y307" s="29">
        <f t="shared" si="37"/>
        <v>39271.29999999999</v>
      </c>
    </row>
    <row r="308" spans="1:25" ht="22.5" customHeight="1">
      <c r="A308" s="295"/>
      <c r="B308" s="295"/>
      <c r="C308" s="295"/>
      <c r="D308" s="284"/>
      <c r="E308" s="36" t="s">
        <v>754</v>
      </c>
      <c r="F308" s="105">
        <f t="shared" si="42"/>
        <v>1470000</v>
      </c>
      <c r="G308" s="114">
        <v>1</v>
      </c>
      <c r="H308" s="105">
        <f t="shared" si="41"/>
        <v>1470000</v>
      </c>
      <c r="I308" s="222">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2"/>
        <v>0</v>
      </c>
      <c r="X308" s="29">
        <f>562243.5+17897.5+17897.5</f>
        <v>598038.5</v>
      </c>
      <c r="Y308" s="29">
        <f t="shared" si="37"/>
        <v>571961.5</v>
      </c>
    </row>
    <row r="309" spans="1:25" ht="22.5" customHeight="1">
      <c r="A309" s="295"/>
      <c r="B309" s="295"/>
      <c r="C309" s="295"/>
      <c r="D309" s="284"/>
      <c r="E309" s="36" t="s">
        <v>244</v>
      </c>
      <c r="F309" s="105">
        <f t="shared" si="42"/>
        <v>995000</v>
      </c>
      <c r="G309" s="114"/>
      <c r="H309" s="105">
        <f t="shared" si="41"/>
        <v>995000</v>
      </c>
      <c r="I309" s="222">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255000-145000-110000-80000-13000</f>
        <v>-93000</v>
      </c>
      <c r="U309" s="29">
        <f>300000+30000-330000+80000</f>
        <v>80000</v>
      </c>
      <c r="V309" s="29">
        <f>100000+455000-60000+13000</f>
        <v>508000</v>
      </c>
      <c r="W309" s="29">
        <f>J309-K309-L309-M309-N309-O309-P309-Q309-R309-S309-T309-U309-V309</f>
        <v>0</v>
      </c>
      <c r="X309" s="29">
        <f>342511.5+57845.8</f>
        <v>400357.3</v>
      </c>
      <c r="Y309" s="29">
        <f t="shared" si="37"/>
        <v>6642.700000000012</v>
      </c>
    </row>
    <row r="310" spans="1:25" ht="18" hidden="1">
      <c r="A310" s="295"/>
      <c r="B310" s="295"/>
      <c r="C310" s="295"/>
      <c r="D310" s="284"/>
      <c r="E310" s="36" t="s">
        <v>1085</v>
      </c>
      <c r="F310" s="105">
        <f t="shared" si="42"/>
        <v>0</v>
      </c>
      <c r="G310" s="114">
        <v>1</v>
      </c>
      <c r="H310" s="105">
        <f t="shared" si="41"/>
        <v>0</v>
      </c>
      <c r="I310" s="231">
        <v>3142</v>
      </c>
      <c r="J310" s="40">
        <f>87600-30000-57600</f>
        <v>0</v>
      </c>
      <c r="K310" s="29"/>
      <c r="L310" s="29"/>
      <c r="M310" s="29"/>
      <c r="N310" s="29"/>
      <c r="O310" s="29"/>
      <c r="P310" s="29"/>
      <c r="Q310" s="29"/>
      <c r="R310" s="29"/>
      <c r="S310" s="29">
        <f>87600-30000-57600</f>
        <v>0</v>
      </c>
      <c r="T310" s="29"/>
      <c r="U310" s="29"/>
      <c r="V310" s="29"/>
      <c r="W310" s="29">
        <f t="shared" si="32"/>
        <v>0</v>
      </c>
      <c r="X310" s="29"/>
      <c r="Y310" s="29">
        <f t="shared" si="37"/>
        <v>0</v>
      </c>
    </row>
    <row r="311" spans="1:25" ht="37.5">
      <c r="A311" s="295"/>
      <c r="B311" s="295"/>
      <c r="C311" s="295"/>
      <c r="D311" s="284"/>
      <c r="E311" s="36" t="s">
        <v>755</v>
      </c>
      <c r="F311" s="105">
        <f t="shared" si="42"/>
        <v>1470000</v>
      </c>
      <c r="G311" s="114">
        <v>1</v>
      </c>
      <c r="H311" s="105">
        <f t="shared" si="41"/>
        <v>1470000</v>
      </c>
      <c r="I311" s="222">
        <v>3142</v>
      </c>
      <c r="J311" s="40">
        <v>1470000</v>
      </c>
      <c r="K311" s="29"/>
      <c r="L311" s="29"/>
      <c r="M311" s="29"/>
      <c r="N311" s="29"/>
      <c r="O311" s="29"/>
      <c r="P311" s="29"/>
      <c r="Q311" s="29">
        <f>70000+448000</f>
        <v>518000</v>
      </c>
      <c r="R311" s="29">
        <f>100000-100000</f>
        <v>0</v>
      </c>
      <c r="S311" s="29">
        <f>60000-60000</f>
        <v>0</v>
      </c>
      <c r="T311" s="29"/>
      <c r="U311" s="29">
        <f>540000-288000</f>
        <v>252000</v>
      </c>
      <c r="V311" s="29">
        <v>700000</v>
      </c>
      <c r="W311" s="29">
        <f t="shared" si="32"/>
        <v>0</v>
      </c>
      <c r="X311" s="29">
        <f>506000+11686.97</f>
        <v>517686.97</v>
      </c>
      <c r="Y311" s="29">
        <f t="shared" si="37"/>
        <v>313.03000000002794</v>
      </c>
    </row>
    <row r="312" spans="1:25" ht="37.5">
      <c r="A312" s="295"/>
      <c r="B312" s="295"/>
      <c r="C312" s="295"/>
      <c r="D312" s="284"/>
      <c r="E312" s="36" t="s">
        <v>908</v>
      </c>
      <c r="F312" s="105">
        <f t="shared" si="42"/>
        <v>85500</v>
      </c>
      <c r="G312" s="114">
        <v>1</v>
      </c>
      <c r="H312" s="105">
        <f t="shared" si="41"/>
        <v>85500</v>
      </c>
      <c r="I312" s="222">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v>25500</v>
      </c>
      <c r="Y312" s="29">
        <f t="shared" si="37"/>
        <v>60000</v>
      </c>
    </row>
    <row r="313" spans="1:25" ht="37.5">
      <c r="A313" s="295"/>
      <c r="B313" s="295"/>
      <c r="C313" s="295"/>
      <c r="D313" s="284"/>
      <c r="E313" s="36" t="s">
        <v>467</v>
      </c>
      <c r="F313" s="105">
        <f t="shared" si="42"/>
        <v>865000</v>
      </c>
      <c r="G313" s="114"/>
      <c r="H313" s="105">
        <f t="shared" si="41"/>
        <v>865000</v>
      </c>
      <c r="I313" s="222">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f>
        <v>401969.3</v>
      </c>
      <c r="Y313" s="29">
        <f t="shared" si="37"/>
        <v>0</v>
      </c>
    </row>
    <row r="314" spans="1:25" ht="36" hidden="1">
      <c r="A314" s="295"/>
      <c r="B314" s="295"/>
      <c r="C314" s="295"/>
      <c r="D314" s="284"/>
      <c r="E314" s="36" t="s">
        <v>671</v>
      </c>
      <c r="F314" s="105">
        <f t="shared" si="42"/>
        <v>0</v>
      </c>
      <c r="G314" s="114">
        <v>1</v>
      </c>
      <c r="H314" s="105">
        <f t="shared" si="41"/>
        <v>0</v>
      </c>
      <c r="I314" s="231">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2"/>
        <v>0</v>
      </c>
      <c r="X314" s="29"/>
      <c r="Y314" s="29">
        <f t="shared" si="37"/>
        <v>0</v>
      </c>
    </row>
    <row r="315" spans="1:25" ht="37.5">
      <c r="A315" s="295"/>
      <c r="B315" s="295"/>
      <c r="C315" s="295"/>
      <c r="D315" s="284"/>
      <c r="E315" s="36" t="s">
        <v>672</v>
      </c>
      <c r="F315" s="105">
        <f t="shared" si="42"/>
        <v>540000</v>
      </c>
      <c r="G315" s="114">
        <v>1</v>
      </c>
      <c r="H315" s="105">
        <f t="shared" si="41"/>
        <v>540000</v>
      </c>
      <c r="I315" s="222">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2"/>
        <v>0</v>
      </c>
      <c r="X315" s="29">
        <f>24365+271000+164635</f>
        <v>460000</v>
      </c>
      <c r="Y315" s="29">
        <f t="shared" si="37"/>
        <v>0</v>
      </c>
    </row>
    <row r="316" spans="1:25" ht="37.5">
      <c r="A316" s="295"/>
      <c r="B316" s="295"/>
      <c r="C316" s="295"/>
      <c r="D316" s="284"/>
      <c r="E316" s="36" t="s">
        <v>455</v>
      </c>
      <c r="F316" s="105">
        <f t="shared" si="42"/>
        <v>1470000</v>
      </c>
      <c r="G316" s="114">
        <v>1</v>
      </c>
      <c r="H316" s="105">
        <f t="shared" si="41"/>
        <v>1470000</v>
      </c>
      <c r="I316" s="222">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2"/>
        <v>0</v>
      </c>
      <c r="X316" s="29">
        <f>703240.8+4568.4+10481.02</f>
        <v>718290.2200000001</v>
      </c>
      <c r="Y316" s="29">
        <f t="shared" si="37"/>
        <v>56709.77999999991</v>
      </c>
    </row>
    <row r="317" spans="1:25" ht="37.5">
      <c r="A317" s="295"/>
      <c r="B317" s="295"/>
      <c r="C317" s="295"/>
      <c r="D317" s="284"/>
      <c r="E317" s="36" t="s">
        <v>921</v>
      </c>
      <c r="F317" s="105">
        <f t="shared" si="42"/>
        <v>1470000</v>
      </c>
      <c r="G317" s="114">
        <v>1</v>
      </c>
      <c r="H317" s="105">
        <f t="shared" si="41"/>
        <v>1470000</v>
      </c>
      <c r="I317" s="231">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2"/>
        <v>0</v>
      </c>
      <c r="X317" s="29">
        <f>703459.7+12585.1</f>
        <v>716044.7999999999</v>
      </c>
      <c r="Y317" s="29">
        <f t="shared" si="37"/>
        <v>8955.20000000007</v>
      </c>
    </row>
    <row r="318" spans="1:25" ht="37.5">
      <c r="A318" s="295"/>
      <c r="B318" s="295"/>
      <c r="C318" s="295"/>
      <c r="D318" s="284"/>
      <c r="E318" s="36" t="s">
        <v>922</v>
      </c>
      <c r="F318" s="105">
        <f t="shared" si="42"/>
        <v>900000</v>
      </c>
      <c r="G318" s="114">
        <v>1</v>
      </c>
      <c r="H318" s="105">
        <f t="shared" si="41"/>
        <v>900000</v>
      </c>
      <c r="I318" s="222">
        <v>3142</v>
      </c>
      <c r="J318" s="40">
        <v>900000</v>
      </c>
      <c r="K318" s="29"/>
      <c r="L318" s="29"/>
      <c r="M318" s="29"/>
      <c r="N318" s="29"/>
      <c r="O318" s="29"/>
      <c r="P318" s="29"/>
      <c r="Q318" s="29">
        <f>250000+110000-110000</f>
        <v>250000</v>
      </c>
      <c r="R318" s="29">
        <f>250000-110000+110000+380000</f>
        <v>630000</v>
      </c>
      <c r="S318" s="29"/>
      <c r="T318" s="29">
        <v>-523000</v>
      </c>
      <c r="U318" s="29">
        <f>200000-180000</f>
        <v>20000</v>
      </c>
      <c r="V318" s="29">
        <v>523000</v>
      </c>
      <c r="W318" s="29">
        <f t="shared" si="32"/>
        <v>0</v>
      </c>
      <c r="X318" s="29">
        <f>250000+76016+30587.2</f>
        <v>356603.2</v>
      </c>
      <c r="Y318" s="29">
        <f t="shared" si="37"/>
        <v>396.79999999998836</v>
      </c>
    </row>
    <row r="319" spans="1:25" ht="37.5">
      <c r="A319" s="295"/>
      <c r="B319" s="295"/>
      <c r="C319" s="295"/>
      <c r="D319" s="284"/>
      <c r="E319" s="36" t="s">
        <v>923</v>
      </c>
      <c r="F319" s="105">
        <f t="shared" si="42"/>
        <v>1470000</v>
      </c>
      <c r="G319" s="114">
        <v>1</v>
      </c>
      <c r="H319" s="105">
        <f t="shared" si="41"/>
        <v>1470000</v>
      </c>
      <c r="I319" s="222">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2"/>
        <v>0</v>
      </c>
      <c r="X319" s="29">
        <f>703562.5+241783.1+14126.98</f>
        <v>959472.58</v>
      </c>
      <c r="Y319" s="29">
        <f t="shared" si="37"/>
        <v>20310.52000000002</v>
      </c>
    </row>
    <row r="320" spans="1:25" ht="27" customHeight="1">
      <c r="A320" s="295"/>
      <c r="B320" s="295"/>
      <c r="C320" s="295"/>
      <c r="D320" s="284"/>
      <c r="E320" s="36" t="s">
        <v>924</v>
      </c>
      <c r="F320" s="105">
        <f t="shared" si="42"/>
        <v>1070000</v>
      </c>
      <c r="G320" s="114">
        <v>1</v>
      </c>
      <c r="H320" s="105">
        <f t="shared" si="41"/>
        <v>1070000</v>
      </c>
      <c r="I320" s="231">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2"/>
        <v>0</v>
      </c>
      <c r="X320" s="29">
        <f>511500+197336.4</f>
        <v>708836.4</v>
      </c>
      <c r="Y320" s="29">
        <f t="shared" si="37"/>
        <v>0</v>
      </c>
    </row>
    <row r="321" spans="1:25" ht="56.25">
      <c r="A321" s="295"/>
      <c r="B321" s="295"/>
      <c r="C321" s="295"/>
      <c r="D321" s="284"/>
      <c r="E321" s="36" t="s">
        <v>925</v>
      </c>
      <c r="F321" s="105">
        <f t="shared" si="42"/>
        <v>300000</v>
      </c>
      <c r="G321" s="114">
        <v>1</v>
      </c>
      <c r="H321" s="105">
        <f t="shared" si="41"/>
        <v>300000</v>
      </c>
      <c r="I321" s="222">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2"/>
        <v>0</v>
      </c>
      <c r="X321" s="29">
        <f>147312.74+147111.2</f>
        <v>294423.94</v>
      </c>
      <c r="Y321" s="29">
        <f t="shared" si="37"/>
        <v>5576.059999999998</v>
      </c>
    </row>
    <row r="322" spans="1:25" ht="56.25">
      <c r="A322" s="295"/>
      <c r="B322" s="295"/>
      <c r="C322" s="295"/>
      <c r="D322" s="284"/>
      <c r="E322" s="36" t="s">
        <v>926</v>
      </c>
      <c r="F322" s="105">
        <f t="shared" si="42"/>
        <v>1470000</v>
      </c>
      <c r="G322" s="114">
        <v>1</v>
      </c>
      <c r="H322" s="105">
        <f t="shared" si="41"/>
        <v>1470000</v>
      </c>
      <c r="I322" s="222">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2"/>
        <v>0</v>
      </c>
      <c r="X322" s="29">
        <f>704184+29850</f>
        <v>734034</v>
      </c>
      <c r="Y322" s="29">
        <f t="shared" si="37"/>
        <v>4966</v>
      </c>
    </row>
    <row r="323" spans="1:25" ht="75">
      <c r="A323" s="295"/>
      <c r="B323" s="295"/>
      <c r="C323" s="295"/>
      <c r="D323" s="284"/>
      <c r="E323" s="36" t="s">
        <v>445</v>
      </c>
      <c r="F323" s="105">
        <f t="shared" si="42"/>
        <v>1470000</v>
      </c>
      <c r="G323" s="114">
        <v>1</v>
      </c>
      <c r="H323" s="105">
        <f t="shared" si="41"/>
        <v>1470000</v>
      </c>
      <c r="I323" s="231">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2"/>
        <v>0</v>
      </c>
      <c r="X323" s="29">
        <f>695763.37+51804.72+694757.97+23446.8</f>
        <v>1465772.86</v>
      </c>
      <c r="Y323" s="29">
        <f t="shared" si="37"/>
        <v>4227.139999999898</v>
      </c>
    </row>
    <row r="324" spans="1:25" ht="37.5">
      <c r="A324" s="295"/>
      <c r="B324" s="295"/>
      <c r="C324" s="295"/>
      <c r="D324" s="284"/>
      <c r="E324" s="36" t="s">
        <v>10</v>
      </c>
      <c r="F324" s="105">
        <f t="shared" si="42"/>
        <v>57900</v>
      </c>
      <c r="G324" s="114">
        <v>1</v>
      </c>
      <c r="H324" s="105">
        <f t="shared" si="41"/>
        <v>57900</v>
      </c>
      <c r="I324" s="222">
        <v>3142</v>
      </c>
      <c r="J324" s="40">
        <v>57900</v>
      </c>
      <c r="K324" s="29"/>
      <c r="L324" s="29"/>
      <c r="M324" s="29"/>
      <c r="N324" s="29"/>
      <c r="O324" s="29"/>
      <c r="P324" s="29"/>
      <c r="Q324" s="29">
        <v>2400</v>
      </c>
      <c r="R324" s="29">
        <v>55500</v>
      </c>
      <c r="S324" s="29">
        <v>-3234.15</v>
      </c>
      <c r="T324" s="29"/>
      <c r="U324" s="29"/>
      <c r="V324" s="29">
        <v>3234.15</v>
      </c>
      <c r="W324" s="29">
        <f t="shared" si="32"/>
        <v>0</v>
      </c>
      <c r="X324" s="29">
        <f>53438.52+984.92</f>
        <v>54423.439999999995</v>
      </c>
      <c r="Y324" s="29">
        <f t="shared" si="37"/>
        <v>242.4100000000035</v>
      </c>
    </row>
    <row r="325" spans="1:25" ht="37.5">
      <c r="A325" s="295"/>
      <c r="B325" s="295"/>
      <c r="C325" s="295"/>
      <c r="D325" s="284"/>
      <c r="E325" s="36" t="s">
        <v>1086</v>
      </c>
      <c r="F325" s="105">
        <f>J325</f>
        <v>1000000</v>
      </c>
      <c r="G325" s="114">
        <v>1</v>
      </c>
      <c r="H325" s="105">
        <f>J325</f>
        <v>1000000</v>
      </c>
      <c r="I325" s="222">
        <v>3142</v>
      </c>
      <c r="J325" s="40">
        <v>1000000</v>
      </c>
      <c r="K325" s="29"/>
      <c r="L325" s="29"/>
      <c r="M325" s="29"/>
      <c r="N325" s="29"/>
      <c r="O325" s="29"/>
      <c r="P325" s="29"/>
      <c r="Q325" s="29">
        <f>300000+200000-26693</f>
        <v>473307</v>
      </c>
      <c r="R325" s="29">
        <f>250000-200000+26693-33000</f>
        <v>43693</v>
      </c>
      <c r="S325" s="29"/>
      <c r="T325" s="29"/>
      <c r="U325" s="29">
        <v>250000</v>
      </c>
      <c r="V325" s="29">
        <f>200000+33000</f>
        <v>233000</v>
      </c>
      <c r="W325" s="29">
        <f t="shared" si="32"/>
        <v>0</v>
      </c>
      <c r="X325" s="29">
        <f>473307+43400</f>
        <v>516707</v>
      </c>
      <c r="Y325" s="29">
        <f t="shared" si="37"/>
        <v>293</v>
      </c>
    </row>
    <row r="326" spans="1:25" ht="75">
      <c r="A326" s="295"/>
      <c r="B326" s="295"/>
      <c r="C326" s="295"/>
      <c r="D326" s="284"/>
      <c r="E326" s="36" t="s">
        <v>11</v>
      </c>
      <c r="F326" s="105">
        <f t="shared" si="42"/>
        <v>1470000</v>
      </c>
      <c r="G326" s="114">
        <v>1</v>
      </c>
      <c r="H326" s="105">
        <f t="shared" si="41"/>
        <v>1470000</v>
      </c>
      <c r="I326" s="231">
        <v>3142</v>
      </c>
      <c r="J326" s="40">
        <v>1470000</v>
      </c>
      <c r="K326" s="29"/>
      <c r="L326" s="29"/>
      <c r="M326" s="29"/>
      <c r="N326" s="29"/>
      <c r="O326" s="29"/>
      <c r="P326" s="29"/>
      <c r="Q326" s="29">
        <v>470000</v>
      </c>
      <c r="R326" s="29">
        <f>300000-190000</f>
        <v>110000</v>
      </c>
      <c r="S326" s="29"/>
      <c r="T326" s="29">
        <f>14000</f>
        <v>14000</v>
      </c>
      <c r="U326" s="29">
        <f>300000+176000</f>
        <v>476000</v>
      </c>
      <c r="V326" s="29">
        <v>400000</v>
      </c>
      <c r="W326" s="29">
        <f t="shared" si="32"/>
        <v>0</v>
      </c>
      <c r="X326" s="29">
        <f>11670.1+458300+27230.24</f>
        <v>497200.33999999997</v>
      </c>
      <c r="Y326" s="29">
        <f t="shared" si="37"/>
        <v>96799.66000000003</v>
      </c>
    </row>
    <row r="327" spans="1:25" ht="37.5">
      <c r="A327" s="295"/>
      <c r="B327" s="295"/>
      <c r="C327" s="295"/>
      <c r="D327" s="284"/>
      <c r="E327" s="36" t="s">
        <v>1087</v>
      </c>
      <c r="F327" s="105">
        <f>J327</f>
        <v>1470000</v>
      </c>
      <c r="G327" s="114">
        <v>1</v>
      </c>
      <c r="H327" s="105">
        <f>J327</f>
        <v>1470000</v>
      </c>
      <c r="I327" s="222">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f>
        <v>100000</v>
      </c>
      <c r="V327" s="29">
        <f>400000+113000+67000-404028.6</f>
        <v>175971.40000000002</v>
      </c>
      <c r="W327" s="29">
        <f t="shared" si="32"/>
        <v>0</v>
      </c>
      <c r="X327" s="29">
        <f>663963+404028.6+16447.81</f>
        <v>1084439.4100000001</v>
      </c>
      <c r="Y327" s="29">
        <f t="shared" si="37"/>
        <v>109589.18999999994</v>
      </c>
    </row>
    <row r="328" spans="1:25" ht="37.5">
      <c r="A328" s="295"/>
      <c r="B328" s="295"/>
      <c r="C328" s="295"/>
      <c r="D328" s="284"/>
      <c r="E328" s="36" t="s">
        <v>1040</v>
      </c>
      <c r="F328" s="105">
        <f>J328</f>
        <v>400000</v>
      </c>
      <c r="G328" s="114"/>
      <c r="H328" s="105">
        <f>J328</f>
        <v>400000</v>
      </c>
      <c r="I328" s="222">
        <v>3142</v>
      </c>
      <c r="J328" s="40">
        <v>400000</v>
      </c>
      <c r="K328" s="29"/>
      <c r="L328" s="29"/>
      <c r="M328" s="29"/>
      <c r="N328" s="29"/>
      <c r="O328" s="29"/>
      <c r="P328" s="29"/>
      <c r="Q328" s="29"/>
      <c r="R328" s="29"/>
      <c r="S328" s="29">
        <v>400000</v>
      </c>
      <c r="T328" s="29"/>
      <c r="U328" s="29"/>
      <c r="V328" s="29"/>
      <c r="W328" s="29">
        <f t="shared" si="32"/>
        <v>0</v>
      </c>
      <c r="X328" s="29">
        <f>119000</f>
        <v>119000</v>
      </c>
      <c r="Y328" s="29">
        <f t="shared" si="37"/>
        <v>281000</v>
      </c>
    </row>
    <row r="329" spans="1:25" ht="37.5">
      <c r="A329" s="295"/>
      <c r="B329" s="295"/>
      <c r="C329" s="295"/>
      <c r="D329" s="284"/>
      <c r="E329" s="36" t="s">
        <v>835</v>
      </c>
      <c r="F329" s="160">
        <f>J329</f>
        <v>100000</v>
      </c>
      <c r="G329" s="114">
        <v>1</v>
      </c>
      <c r="H329" s="160">
        <f>J329</f>
        <v>100000</v>
      </c>
      <c r="I329" s="222">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2"/>
        <v>0</v>
      </c>
      <c r="X329" s="29"/>
      <c r="Y329" s="29">
        <f t="shared" si="37"/>
        <v>100000</v>
      </c>
    </row>
    <row r="330" spans="1:25" ht="37.5">
      <c r="A330" s="295"/>
      <c r="B330" s="295"/>
      <c r="C330" s="295"/>
      <c r="D330" s="284"/>
      <c r="E330" s="36" t="s">
        <v>485</v>
      </c>
      <c r="F330" s="160"/>
      <c r="G330" s="114"/>
      <c r="H330" s="160"/>
      <c r="I330" s="222">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f>
        <v>209000.7</v>
      </c>
      <c r="Y330" s="29">
        <f t="shared" si="37"/>
        <v>173999.3</v>
      </c>
    </row>
    <row r="331" spans="1:25" ht="37.5">
      <c r="A331" s="295"/>
      <c r="B331" s="295"/>
      <c r="C331" s="295"/>
      <c r="D331" s="284"/>
      <c r="E331" s="36" t="s">
        <v>1231</v>
      </c>
      <c r="F331" s="105">
        <f>J331</f>
        <v>513000</v>
      </c>
      <c r="G331" s="114">
        <v>1</v>
      </c>
      <c r="H331" s="105">
        <f>J331</f>
        <v>513000</v>
      </c>
      <c r="I331" s="231">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2"/>
        <v>0</v>
      </c>
      <c r="X331" s="29">
        <f>160000+24000+62871.4+222871+7000</f>
        <v>476742.4</v>
      </c>
      <c r="Y331" s="29">
        <f t="shared" si="37"/>
        <v>3257.5999999999767</v>
      </c>
    </row>
    <row r="332" spans="1:25" ht="42" customHeight="1">
      <c r="A332" s="295"/>
      <c r="B332" s="295"/>
      <c r="C332" s="295"/>
      <c r="D332" s="284"/>
      <c r="E332" s="36" t="s">
        <v>1076</v>
      </c>
      <c r="F332" s="105">
        <f t="shared" si="42"/>
        <v>1470000</v>
      </c>
      <c r="G332" s="114">
        <v>1</v>
      </c>
      <c r="H332" s="105">
        <f t="shared" si="41"/>
        <v>1470000</v>
      </c>
      <c r="I332" s="222">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2"/>
        <v>0</v>
      </c>
      <c r="X332" s="29">
        <f>703531.2+29850+466.8+10460.21</f>
        <v>744308.21</v>
      </c>
      <c r="Y332" s="29">
        <f t="shared" si="37"/>
        <v>234691.79000000004</v>
      </c>
    </row>
    <row r="333" spans="1:25" ht="37.5">
      <c r="A333" s="295"/>
      <c r="B333" s="295"/>
      <c r="C333" s="295"/>
      <c r="D333" s="284"/>
      <c r="E333" s="36" t="s">
        <v>12</v>
      </c>
      <c r="F333" s="105">
        <f t="shared" si="42"/>
        <v>750000</v>
      </c>
      <c r="G333" s="114">
        <v>1</v>
      </c>
      <c r="H333" s="105">
        <f t="shared" si="41"/>
        <v>750000</v>
      </c>
      <c r="I333" s="222">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2"/>
        <v>0</v>
      </c>
      <c r="X333" s="29">
        <f>202145.4+35790+147827.4+4345.2+156172.46+2280.9</f>
        <v>548561.36</v>
      </c>
      <c r="Y333" s="29">
        <f t="shared" si="37"/>
        <v>89938.64000000001</v>
      </c>
    </row>
    <row r="334" spans="1:25" ht="37.5">
      <c r="A334" s="295"/>
      <c r="B334" s="295"/>
      <c r="C334" s="295"/>
      <c r="D334" s="284"/>
      <c r="E334" s="36" t="s">
        <v>13</v>
      </c>
      <c r="F334" s="105">
        <f t="shared" si="42"/>
        <v>1000000</v>
      </c>
      <c r="G334" s="114">
        <v>1</v>
      </c>
      <c r="H334" s="105">
        <f t="shared" si="41"/>
        <v>1000000</v>
      </c>
      <c r="I334" s="231">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2"/>
        <v>0</v>
      </c>
      <c r="X334" s="29">
        <f>399000+81294.5</f>
        <v>480294.5</v>
      </c>
      <c r="Y334" s="29">
        <f t="shared" si="37"/>
        <v>705.5</v>
      </c>
    </row>
    <row r="335" spans="1:25" ht="37.5">
      <c r="A335" s="295"/>
      <c r="B335" s="295"/>
      <c r="C335" s="295"/>
      <c r="D335" s="284"/>
      <c r="E335" s="36" t="s">
        <v>14</v>
      </c>
      <c r="F335" s="105">
        <f t="shared" si="42"/>
        <v>150000</v>
      </c>
      <c r="G335" s="114">
        <v>1</v>
      </c>
      <c r="H335" s="105">
        <f t="shared" si="41"/>
        <v>150000</v>
      </c>
      <c r="I335" s="222">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2"/>
        <v>0</v>
      </c>
      <c r="X335" s="29"/>
      <c r="Y335" s="29">
        <f t="shared" si="37"/>
        <v>5000</v>
      </c>
    </row>
    <row r="336" spans="1:25" ht="37.5">
      <c r="A336" s="295"/>
      <c r="B336" s="295"/>
      <c r="C336" s="295"/>
      <c r="D336" s="284"/>
      <c r="E336" s="36" t="s">
        <v>15</v>
      </c>
      <c r="F336" s="105">
        <f t="shared" si="42"/>
        <v>1300000</v>
      </c>
      <c r="G336" s="114">
        <v>1</v>
      </c>
      <c r="H336" s="105">
        <f t="shared" si="41"/>
        <v>1300000</v>
      </c>
      <c r="I336" s="222">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2"/>
        <v>0</v>
      </c>
      <c r="X336" s="29">
        <f>15000+612372+35000</f>
        <v>662372</v>
      </c>
      <c r="Y336" s="29">
        <f t="shared" si="37"/>
        <v>300628</v>
      </c>
    </row>
    <row r="337" spans="1:25" ht="37.5">
      <c r="A337" s="295"/>
      <c r="B337" s="295"/>
      <c r="C337" s="295"/>
      <c r="D337" s="284"/>
      <c r="E337" s="36" t="s">
        <v>640</v>
      </c>
      <c r="F337" s="105">
        <f t="shared" si="42"/>
        <v>500000</v>
      </c>
      <c r="G337" s="114"/>
      <c r="H337" s="105">
        <f t="shared" si="41"/>
        <v>500000</v>
      </c>
      <c r="I337" s="231">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f>
        <v>235499.52</v>
      </c>
      <c r="Y337" s="29">
        <f t="shared" si="37"/>
        <v>244500.48</v>
      </c>
    </row>
    <row r="338" spans="1:25" ht="36" hidden="1">
      <c r="A338" s="295"/>
      <c r="B338" s="295"/>
      <c r="C338" s="295"/>
      <c r="D338" s="284"/>
      <c r="E338" s="36" t="s">
        <v>282</v>
      </c>
      <c r="F338" s="105">
        <f t="shared" si="42"/>
        <v>0</v>
      </c>
      <c r="G338" s="114">
        <v>1</v>
      </c>
      <c r="H338" s="105">
        <f t="shared" si="41"/>
        <v>0</v>
      </c>
      <c r="I338" s="222">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2"/>
        <v>0</v>
      </c>
      <c r="X338" s="29"/>
      <c r="Y338" s="29">
        <f t="shared" si="37"/>
        <v>0</v>
      </c>
    </row>
    <row r="339" spans="1:25" ht="37.5">
      <c r="A339" s="295"/>
      <c r="B339" s="295"/>
      <c r="C339" s="295"/>
      <c r="D339" s="284"/>
      <c r="E339" s="36" t="s">
        <v>283</v>
      </c>
      <c r="F339" s="105">
        <f t="shared" si="42"/>
        <v>788000</v>
      </c>
      <c r="G339" s="114">
        <v>1</v>
      </c>
      <c r="H339" s="105">
        <f t="shared" si="41"/>
        <v>788000</v>
      </c>
      <c r="I339" s="222">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2"/>
        <v>0</v>
      </c>
      <c r="X339" s="29">
        <f>30231+229182.22</f>
        <v>259413.22</v>
      </c>
      <c r="Y339" s="29">
        <f t="shared" si="37"/>
        <v>13586.779999999999</v>
      </c>
    </row>
    <row r="340" spans="1:25" ht="37.5">
      <c r="A340" s="295"/>
      <c r="B340" s="295"/>
      <c r="C340" s="295"/>
      <c r="D340" s="284"/>
      <c r="E340" s="36" t="s">
        <v>557</v>
      </c>
      <c r="F340" s="105">
        <f t="shared" si="42"/>
        <v>700000</v>
      </c>
      <c r="G340" s="114">
        <v>1</v>
      </c>
      <c r="H340" s="105">
        <f t="shared" si="41"/>
        <v>700000</v>
      </c>
      <c r="I340" s="231">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3" ref="W340:W425">J340-K340-L340-M340-N340-O340-P340-Q340-R340-S340-T340-U340-V340</f>
        <v>0</v>
      </c>
      <c r="X340" s="29">
        <f>325249.2+146574+7258.38</f>
        <v>479081.58</v>
      </c>
      <c r="Y340" s="29">
        <f t="shared" si="37"/>
        <v>112492.41999999998</v>
      </c>
    </row>
    <row r="341" spans="1:25" ht="18" hidden="1">
      <c r="A341" s="295"/>
      <c r="B341" s="295"/>
      <c r="C341" s="295"/>
      <c r="D341" s="284"/>
      <c r="E341" s="36" t="s">
        <v>89</v>
      </c>
      <c r="F341" s="105">
        <f t="shared" si="42"/>
        <v>0</v>
      </c>
      <c r="G341" s="114"/>
      <c r="H341" s="105">
        <f t="shared" si="41"/>
        <v>0</v>
      </c>
      <c r="I341" s="231">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3"/>
        <v>0</v>
      </c>
      <c r="X341" s="29"/>
      <c r="Y341" s="29">
        <f t="shared" si="37"/>
        <v>0</v>
      </c>
    </row>
    <row r="342" spans="1:25" ht="56.25">
      <c r="A342" s="295"/>
      <c r="B342" s="295"/>
      <c r="C342" s="295"/>
      <c r="D342" s="284"/>
      <c r="E342" s="36" t="s">
        <v>423</v>
      </c>
      <c r="F342" s="105"/>
      <c r="G342" s="114"/>
      <c r="H342" s="105"/>
      <c r="I342" s="231">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3"/>
        <v>0</v>
      </c>
      <c r="X342" s="29">
        <f>307887</f>
        <v>307887</v>
      </c>
      <c r="Y342" s="29">
        <f t="shared" si="37"/>
        <v>42113</v>
      </c>
    </row>
    <row r="343" spans="1:25" ht="37.5">
      <c r="A343" s="295"/>
      <c r="B343" s="295"/>
      <c r="C343" s="295"/>
      <c r="D343" s="284"/>
      <c r="E343" s="36" t="s">
        <v>558</v>
      </c>
      <c r="F343" s="105">
        <f t="shared" si="42"/>
        <v>551000</v>
      </c>
      <c r="G343" s="114">
        <v>1</v>
      </c>
      <c r="H343" s="105">
        <f t="shared" si="41"/>
        <v>551000</v>
      </c>
      <c r="I343" s="222">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3"/>
        <v>0</v>
      </c>
      <c r="X343" s="29">
        <f>160000+240000</f>
        <v>400000</v>
      </c>
      <c r="Y343" s="29">
        <f t="shared" si="37"/>
        <v>0</v>
      </c>
    </row>
    <row r="344" spans="1:25" ht="36" hidden="1">
      <c r="A344" s="295"/>
      <c r="B344" s="295"/>
      <c r="C344" s="295"/>
      <c r="D344" s="284"/>
      <c r="E344" s="36" t="s">
        <v>559</v>
      </c>
      <c r="F344" s="105">
        <f t="shared" si="42"/>
        <v>0</v>
      </c>
      <c r="G344" s="114">
        <v>1</v>
      </c>
      <c r="H344" s="105">
        <f t="shared" si="41"/>
        <v>0</v>
      </c>
      <c r="I344" s="222">
        <v>3142</v>
      </c>
      <c r="J344" s="40">
        <f>380000-380000</f>
        <v>0</v>
      </c>
      <c r="K344" s="29"/>
      <c r="L344" s="29"/>
      <c r="M344" s="29"/>
      <c r="N344" s="29"/>
      <c r="O344" s="29"/>
      <c r="P344" s="29"/>
      <c r="Q344" s="29"/>
      <c r="R344" s="29">
        <f>100000-100000</f>
        <v>0</v>
      </c>
      <c r="S344" s="29"/>
      <c r="T344" s="29">
        <f>180000-180000</f>
        <v>0</v>
      </c>
      <c r="U344" s="29"/>
      <c r="V344" s="29">
        <f>100000-100000</f>
        <v>0</v>
      </c>
      <c r="W344" s="29">
        <f t="shared" si="43"/>
        <v>0</v>
      </c>
      <c r="X344" s="29"/>
      <c r="Y344" s="29">
        <f t="shared" si="37"/>
        <v>0</v>
      </c>
    </row>
    <row r="345" spans="1:25" ht="37.5">
      <c r="A345" s="295"/>
      <c r="B345" s="295"/>
      <c r="C345" s="295"/>
      <c r="D345" s="284"/>
      <c r="E345" s="36" t="s">
        <v>560</v>
      </c>
      <c r="F345" s="105">
        <f t="shared" si="42"/>
        <v>1500000</v>
      </c>
      <c r="G345" s="114">
        <v>1</v>
      </c>
      <c r="H345" s="105">
        <f t="shared" si="41"/>
        <v>1500000</v>
      </c>
      <c r="I345" s="231">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f>
        <v>0</v>
      </c>
      <c r="V345" s="29">
        <f>400000+345315-200000+100000</f>
        <v>645315</v>
      </c>
      <c r="W345" s="29">
        <f t="shared" si="43"/>
        <v>0</v>
      </c>
      <c r="X345" s="29">
        <f>86020+697350.63</f>
        <v>783370.63</v>
      </c>
      <c r="Y345" s="29">
        <f t="shared" si="37"/>
        <v>71314.37</v>
      </c>
    </row>
    <row r="346" spans="1:25" ht="37.5">
      <c r="A346" s="295"/>
      <c r="B346" s="295"/>
      <c r="C346" s="295"/>
      <c r="D346" s="284"/>
      <c r="E346" s="36" t="s">
        <v>561</v>
      </c>
      <c r="F346" s="105">
        <f t="shared" si="42"/>
        <v>1470000</v>
      </c>
      <c r="G346" s="114">
        <v>1</v>
      </c>
      <c r="H346" s="105">
        <f t="shared" si="41"/>
        <v>1470000</v>
      </c>
      <c r="I346" s="222">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3"/>
        <v>0</v>
      </c>
      <c r="X346" s="29">
        <f>600000+347484+365452.8+77469.6</f>
        <v>1390406.4000000001</v>
      </c>
      <c r="Y346" s="29">
        <f t="shared" si="37"/>
        <v>11593.59999999986</v>
      </c>
    </row>
    <row r="347" spans="1:25" ht="37.5">
      <c r="A347" s="295"/>
      <c r="B347" s="295"/>
      <c r="C347" s="295"/>
      <c r="D347" s="284"/>
      <c r="E347" s="36" t="s">
        <v>47</v>
      </c>
      <c r="F347" s="105">
        <f>J347</f>
        <v>1470000</v>
      </c>
      <c r="G347" s="114">
        <v>1</v>
      </c>
      <c r="H347" s="105">
        <f>J347</f>
        <v>1470000</v>
      </c>
      <c r="I347" s="222">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3"/>
        <v>0</v>
      </c>
      <c r="X347" s="29">
        <f>703460.4+9481.2+10817.85</f>
        <v>723759.45</v>
      </c>
      <c r="Y347" s="29">
        <f t="shared" si="37"/>
        <v>26240.550000000047</v>
      </c>
    </row>
    <row r="348" spans="1:25" ht="37.5">
      <c r="A348" s="295"/>
      <c r="B348" s="295"/>
      <c r="C348" s="295"/>
      <c r="D348" s="284"/>
      <c r="E348" s="36" t="s">
        <v>468</v>
      </c>
      <c r="F348" s="105">
        <f>J348</f>
        <v>450000</v>
      </c>
      <c r="G348" s="114"/>
      <c r="H348" s="105">
        <f>J348</f>
        <v>450000</v>
      </c>
      <c r="I348" s="222">
        <v>3142</v>
      </c>
      <c r="J348" s="40">
        <v>450000</v>
      </c>
      <c r="K348" s="29"/>
      <c r="L348" s="29"/>
      <c r="M348" s="29"/>
      <c r="N348" s="29"/>
      <c r="O348" s="29"/>
      <c r="P348" s="29"/>
      <c r="Q348" s="29"/>
      <c r="R348" s="29"/>
      <c r="S348" s="29">
        <v>450000</v>
      </c>
      <c r="T348" s="29"/>
      <c r="U348" s="29"/>
      <c r="V348" s="29"/>
      <c r="W348" s="29">
        <f t="shared" si="43"/>
        <v>0</v>
      </c>
      <c r="X348" s="29"/>
      <c r="Y348" s="29">
        <f t="shared" si="37"/>
        <v>450000</v>
      </c>
    </row>
    <row r="349" spans="1:25" ht="37.5">
      <c r="A349" s="295"/>
      <c r="B349" s="295"/>
      <c r="C349" s="295"/>
      <c r="D349" s="284"/>
      <c r="E349" s="36" t="s">
        <v>290</v>
      </c>
      <c r="F349" s="105">
        <f t="shared" si="42"/>
        <v>500000</v>
      </c>
      <c r="G349" s="114">
        <v>1</v>
      </c>
      <c r="H349" s="105">
        <f t="shared" si="41"/>
        <v>500000</v>
      </c>
      <c r="I349" s="231">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3"/>
        <v>0</v>
      </c>
      <c r="X349" s="29">
        <f>25759+199993.68+10366.97</f>
        <v>236119.65</v>
      </c>
      <c r="Y349" s="29">
        <f t="shared" si="37"/>
        <v>209880.35</v>
      </c>
    </row>
    <row r="350" spans="1:25" ht="37.5">
      <c r="A350" s="295"/>
      <c r="B350" s="295"/>
      <c r="C350" s="295"/>
      <c r="D350" s="284"/>
      <c r="E350" s="36" t="s">
        <v>291</v>
      </c>
      <c r="F350" s="105">
        <f t="shared" si="42"/>
        <v>500000</v>
      </c>
      <c r="G350" s="114">
        <v>1</v>
      </c>
      <c r="H350" s="105">
        <f t="shared" si="41"/>
        <v>500000</v>
      </c>
      <c r="I350" s="222">
        <v>3142</v>
      </c>
      <c r="J350" s="40">
        <v>500000</v>
      </c>
      <c r="K350" s="29"/>
      <c r="L350" s="29"/>
      <c r="M350" s="29"/>
      <c r="N350" s="29"/>
      <c r="O350" s="29">
        <f>115000-115000</f>
        <v>0</v>
      </c>
      <c r="P350" s="29"/>
      <c r="Q350" s="29"/>
      <c r="R350" s="29">
        <f>150000-35000</f>
        <v>115000</v>
      </c>
      <c r="S350" s="29"/>
      <c r="T350" s="29">
        <f>220000-80000</f>
        <v>140000</v>
      </c>
      <c r="U350" s="29">
        <v>115000</v>
      </c>
      <c r="V350" s="29">
        <v>130000</v>
      </c>
      <c r="W350" s="29">
        <f t="shared" si="43"/>
        <v>0</v>
      </c>
      <c r="X350" s="29">
        <f>115000+118946</f>
        <v>233946</v>
      </c>
      <c r="Y350" s="29">
        <f t="shared" si="37"/>
        <v>21054</v>
      </c>
    </row>
    <row r="351" spans="1:25" ht="37.5">
      <c r="A351" s="295"/>
      <c r="B351" s="295"/>
      <c r="C351" s="295"/>
      <c r="D351" s="284"/>
      <c r="E351" s="36" t="s">
        <v>998</v>
      </c>
      <c r="F351" s="105">
        <f t="shared" si="42"/>
        <v>150000</v>
      </c>
      <c r="G351" s="114"/>
      <c r="H351" s="105">
        <f t="shared" si="41"/>
        <v>150000</v>
      </c>
      <c r="I351" s="222">
        <v>3142</v>
      </c>
      <c r="J351" s="40">
        <v>150000</v>
      </c>
      <c r="K351" s="29"/>
      <c r="L351" s="29"/>
      <c r="M351" s="29"/>
      <c r="N351" s="29"/>
      <c r="O351" s="29"/>
      <c r="P351" s="29"/>
      <c r="Q351" s="29"/>
      <c r="R351" s="29"/>
      <c r="S351" s="29"/>
      <c r="T351" s="29"/>
      <c r="U351" s="29">
        <v>150000</v>
      </c>
      <c r="V351" s="29"/>
      <c r="W351" s="29">
        <f t="shared" si="43"/>
        <v>0</v>
      </c>
      <c r="X351" s="29"/>
      <c r="Y351" s="29">
        <f t="shared" si="37"/>
        <v>0</v>
      </c>
    </row>
    <row r="352" spans="1:25" ht="37.5">
      <c r="A352" s="295"/>
      <c r="B352" s="295"/>
      <c r="C352" s="295"/>
      <c r="D352" s="284"/>
      <c r="E352" s="36" t="s">
        <v>292</v>
      </c>
      <c r="F352" s="105">
        <f t="shared" si="42"/>
        <v>150000</v>
      </c>
      <c r="G352" s="114">
        <v>1</v>
      </c>
      <c r="H352" s="105">
        <f t="shared" si="41"/>
        <v>150000</v>
      </c>
      <c r="I352" s="222">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3"/>
        <v>0</v>
      </c>
      <c r="X352" s="29">
        <f>72884.56+71860.64</f>
        <v>144745.2</v>
      </c>
      <c r="Y352" s="29">
        <f t="shared" si="37"/>
        <v>5254.799999999988</v>
      </c>
    </row>
    <row r="353" spans="1:25" ht="37.5">
      <c r="A353" s="295"/>
      <c r="B353" s="295"/>
      <c r="C353" s="295"/>
      <c r="D353" s="284"/>
      <c r="E353" s="36" t="s">
        <v>955</v>
      </c>
      <c r="F353" s="105">
        <f t="shared" si="42"/>
        <v>200000</v>
      </c>
      <c r="G353" s="114">
        <v>1</v>
      </c>
      <c r="H353" s="105">
        <f t="shared" si="41"/>
        <v>200000</v>
      </c>
      <c r="I353" s="231">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3"/>
        <v>0</v>
      </c>
      <c r="X353" s="29">
        <f>10949.08+76405.5</f>
        <v>87354.58</v>
      </c>
      <c r="Y353" s="29">
        <f t="shared" si="37"/>
        <v>105909.99</v>
      </c>
    </row>
    <row r="354" spans="1:25" ht="37.5">
      <c r="A354" s="295"/>
      <c r="B354" s="295"/>
      <c r="C354" s="295"/>
      <c r="D354" s="284"/>
      <c r="E354" s="36" t="s">
        <v>621</v>
      </c>
      <c r="F354" s="105">
        <f t="shared" si="42"/>
        <v>400000</v>
      </c>
      <c r="G354" s="114">
        <v>1</v>
      </c>
      <c r="H354" s="105">
        <f t="shared" si="41"/>
        <v>400000</v>
      </c>
      <c r="I354" s="222">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3"/>
        <v>0</v>
      </c>
      <c r="X354" s="29">
        <f>19102.87</f>
        <v>19102.87</v>
      </c>
      <c r="Y354" s="29">
        <f t="shared" si="37"/>
        <v>131897.13</v>
      </c>
    </row>
    <row r="355" spans="1:25" ht="37.5">
      <c r="A355" s="295"/>
      <c r="B355" s="295"/>
      <c r="C355" s="295"/>
      <c r="D355" s="284"/>
      <c r="E355" s="36" t="s">
        <v>956</v>
      </c>
      <c r="F355" s="105">
        <f t="shared" si="42"/>
        <v>51200</v>
      </c>
      <c r="G355" s="114">
        <v>1</v>
      </c>
      <c r="H355" s="105">
        <f t="shared" si="41"/>
        <v>51200</v>
      </c>
      <c r="I355" s="222">
        <v>3142</v>
      </c>
      <c r="J355" s="40">
        <v>51200</v>
      </c>
      <c r="K355" s="29"/>
      <c r="L355" s="29"/>
      <c r="M355" s="29"/>
      <c r="N355" s="29"/>
      <c r="O355" s="29"/>
      <c r="P355" s="29"/>
      <c r="Q355" s="29"/>
      <c r="R355" s="29"/>
      <c r="S355" s="29"/>
      <c r="T355" s="29">
        <v>51200</v>
      </c>
      <c r="U355" s="29"/>
      <c r="V355" s="29"/>
      <c r="W355" s="29">
        <f t="shared" si="43"/>
        <v>0</v>
      </c>
      <c r="X355" s="29">
        <f>24251.7</f>
        <v>24251.7</v>
      </c>
      <c r="Y355" s="29">
        <f aca="true" t="shared" si="44" ref="Y355:Y426">K355+L355+M355+N355+O355+P355+Q355+R355+S355+T355-X355</f>
        <v>26948.3</v>
      </c>
    </row>
    <row r="356" spans="1:25" ht="37.5">
      <c r="A356" s="295"/>
      <c r="B356" s="295"/>
      <c r="C356" s="295"/>
      <c r="D356" s="284"/>
      <c r="E356" s="36" t="s">
        <v>957</v>
      </c>
      <c r="F356" s="105">
        <f t="shared" si="42"/>
        <v>1470000</v>
      </c>
      <c r="G356" s="114">
        <v>1</v>
      </c>
      <c r="H356" s="105">
        <f t="shared" si="41"/>
        <v>1470000</v>
      </c>
      <c r="I356" s="231">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3"/>
        <v>0</v>
      </c>
      <c r="X356" s="29">
        <f>475200+24745+70055</f>
        <v>570000</v>
      </c>
      <c r="Y356" s="29">
        <f t="shared" si="44"/>
        <v>194000</v>
      </c>
    </row>
    <row r="357" spans="1:25" ht="45.75" customHeight="1">
      <c r="A357" s="295"/>
      <c r="B357" s="295"/>
      <c r="C357" s="295"/>
      <c r="D357" s="284"/>
      <c r="E357" s="36" t="s">
        <v>293</v>
      </c>
      <c r="F357" s="105">
        <f t="shared" si="42"/>
        <v>1470000</v>
      </c>
      <c r="G357" s="114">
        <v>1</v>
      </c>
      <c r="H357" s="105">
        <f t="shared" si="41"/>
        <v>1470000</v>
      </c>
      <c r="I357" s="222">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3"/>
        <v>0</v>
      </c>
      <c r="X357" s="29">
        <f>15000+696138.4+34995+10448.17</f>
        <v>756581.5700000001</v>
      </c>
      <c r="Y357" s="29">
        <f t="shared" si="44"/>
        <v>25118.429999999935</v>
      </c>
    </row>
    <row r="358" spans="1:25" ht="112.5">
      <c r="A358" s="295"/>
      <c r="B358" s="295"/>
      <c r="C358" s="295"/>
      <c r="D358" s="284"/>
      <c r="E358" s="36" t="s">
        <v>284</v>
      </c>
      <c r="F358" s="105"/>
      <c r="G358" s="114"/>
      <c r="H358" s="105"/>
      <c r="I358" s="222">
        <v>3142</v>
      </c>
      <c r="J358" s="40">
        <f>1000000+30000</f>
        <v>1030000</v>
      </c>
      <c r="K358" s="29"/>
      <c r="L358" s="29"/>
      <c r="M358" s="29"/>
      <c r="N358" s="29"/>
      <c r="O358" s="29"/>
      <c r="P358" s="29">
        <v>1000000</v>
      </c>
      <c r="Q358" s="29"/>
      <c r="R358" s="29">
        <v>30000</v>
      </c>
      <c r="S358" s="29"/>
      <c r="T358" s="29"/>
      <c r="U358" s="29"/>
      <c r="V358" s="29"/>
      <c r="W358" s="29">
        <f t="shared" si="43"/>
        <v>0</v>
      </c>
      <c r="X358" s="29">
        <f>21636.33+699574.57</f>
        <v>721210.8999999999</v>
      </c>
      <c r="Y358" s="29">
        <f t="shared" si="44"/>
        <v>308789.1000000001</v>
      </c>
    </row>
    <row r="359" spans="1:25" ht="37.5">
      <c r="A359" s="295"/>
      <c r="B359" s="295"/>
      <c r="C359" s="295"/>
      <c r="D359" s="284"/>
      <c r="E359" s="36" t="s">
        <v>1111</v>
      </c>
      <c r="F359" s="105">
        <f t="shared" si="42"/>
        <v>1470000</v>
      </c>
      <c r="G359" s="114">
        <v>1</v>
      </c>
      <c r="H359" s="105">
        <f t="shared" si="41"/>
        <v>1470000</v>
      </c>
      <c r="I359" s="222">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3"/>
        <v>0</v>
      </c>
      <c r="X359" s="29">
        <f>350000+42640+350614.5+5979.65</f>
        <v>749234.15</v>
      </c>
      <c r="Y359" s="29">
        <f t="shared" si="44"/>
        <v>0</v>
      </c>
    </row>
    <row r="360" spans="1:25" ht="37.5">
      <c r="A360" s="295"/>
      <c r="B360" s="295"/>
      <c r="C360" s="295"/>
      <c r="D360" s="284"/>
      <c r="E360" s="36" t="s">
        <v>912</v>
      </c>
      <c r="F360" s="105">
        <f t="shared" si="42"/>
        <v>1470000</v>
      </c>
      <c r="G360" s="114">
        <v>1</v>
      </c>
      <c r="H360" s="105">
        <f t="shared" si="41"/>
        <v>1470000</v>
      </c>
      <c r="I360" s="231">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3"/>
        <v>0</v>
      </c>
      <c r="X360" s="29">
        <f>600000</f>
        <v>600000</v>
      </c>
      <c r="Y360" s="29">
        <f t="shared" si="44"/>
        <v>0</v>
      </c>
    </row>
    <row r="361" spans="1:25" ht="93.75">
      <c r="A361" s="295"/>
      <c r="B361" s="295"/>
      <c r="C361" s="295"/>
      <c r="D361" s="284"/>
      <c r="E361" s="36" t="s">
        <v>1112</v>
      </c>
      <c r="F361" s="105">
        <f t="shared" si="42"/>
        <v>1470000</v>
      </c>
      <c r="G361" s="114">
        <v>1</v>
      </c>
      <c r="H361" s="105">
        <f t="shared" si="41"/>
        <v>1470000</v>
      </c>
      <c r="I361" s="222">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3"/>
        <v>0</v>
      </c>
      <c r="X361" s="29">
        <f>29920+703323+487.8+11125.27</f>
        <v>744856.0700000001</v>
      </c>
      <c r="Y361" s="29">
        <f t="shared" si="44"/>
        <v>24143.929999999935</v>
      </c>
    </row>
    <row r="362" spans="1:25" ht="56.25">
      <c r="A362" s="295"/>
      <c r="B362" s="295"/>
      <c r="C362" s="295"/>
      <c r="D362" s="284"/>
      <c r="E362" s="52" t="s">
        <v>1075</v>
      </c>
      <c r="F362" s="160">
        <f t="shared" si="42"/>
        <v>800000</v>
      </c>
      <c r="G362" s="114">
        <v>1</v>
      </c>
      <c r="H362" s="160">
        <f>J362</f>
        <v>800000</v>
      </c>
      <c r="I362" s="222">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9">
        <f t="shared" si="44"/>
        <v>392.80000000004657</v>
      </c>
    </row>
    <row r="363" spans="1:25" ht="75">
      <c r="A363" s="295"/>
      <c r="B363" s="295"/>
      <c r="C363" s="295"/>
      <c r="D363" s="284"/>
      <c r="E363" s="36" t="s">
        <v>308</v>
      </c>
      <c r="F363" s="105">
        <f t="shared" si="42"/>
        <v>520000</v>
      </c>
      <c r="G363" s="114">
        <v>1</v>
      </c>
      <c r="H363" s="105">
        <f>J363</f>
        <v>520000</v>
      </c>
      <c r="I363" s="231">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9">
        <f t="shared" si="44"/>
        <v>0</v>
      </c>
    </row>
    <row r="364" spans="1:25" ht="60" customHeight="1">
      <c r="A364" s="295"/>
      <c r="B364" s="295"/>
      <c r="C364" s="295"/>
      <c r="D364" s="284"/>
      <c r="E364" s="36" t="s">
        <v>471</v>
      </c>
      <c r="F364" s="105"/>
      <c r="G364" s="114"/>
      <c r="H364" s="105"/>
      <c r="I364" s="231">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9">
        <f t="shared" si="44"/>
        <v>166387.90999999992</v>
      </c>
    </row>
    <row r="365" spans="1:25" ht="90" hidden="1">
      <c r="A365" s="296"/>
      <c r="B365" s="296"/>
      <c r="C365" s="296"/>
      <c r="D365" s="301"/>
      <c r="E365" s="36" t="s">
        <v>484</v>
      </c>
      <c r="F365" s="105">
        <f t="shared" si="42"/>
        <v>0</v>
      </c>
      <c r="G365" s="114">
        <v>1</v>
      </c>
      <c r="H365" s="105">
        <f t="shared" si="41"/>
        <v>0</v>
      </c>
      <c r="I365" s="222">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3"/>
        <v>0</v>
      </c>
      <c r="X365" s="29"/>
      <c r="Y365" s="29">
        <f t="shared" si="44"/>
        <v>0</v>
      </c>
    </row>
    <row r="366" spans="1:25" s="12" customFormat="1" ht="18.75">
      <c r="A366" s="294" t="s">
        <v>1000</v>
      </c>
      <c r="B366" s="42"/>
      <c r="C366" s="42"/>
      <c r="D366" s="283" t="s">
        <v>608</v>
      </c>
      <c r="E366" s="55"/>
      <c r="F366" s="55"/>
      <c r="G366" s="55"/>
      <c r="H366" s="55"/>
      <c r="I366" s="253"/>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9">
        <f>K366+L366+M366+N366+O366+P366+Q366+R366+S366+T366-X366</f>
        <v>500000</v>
      </c>
    </row>
    <row r="367" spans="1:25" ht="75">
      <c r="A367" s="296"/>
      <c r="B367" s="42"/>
      <c r="C367" s="42"/>
      <c r="D367" s="301"/>
      <c r="E367" s="36" t="s">
        <v>999</v>
      </c>
      <c r="F367" s="52"/>
      <c r="G367" s="52"/>
      <c r="H367" s="52"/>
      <c r="I367" s="252">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9">
        <f>K367+L367+M367+N367+O367+P367+Q367+R367+S367+T367-X367</f>
        <v>500000</v>
      </c>
    </row>
    <row r="368" spans="1:25" ht="18.75">
      <c r="A368" s="294" t="s">
        <v>230</v>
      </c>
      <c r="B368" s="294" t="s">
        <v>1143</v>
      </c>
      <c r="C368" s="294" t="s">
        <v>85</v>
      </c>
      <c r="D368" s="283" t="s">
        <v>1142</v>
      </c>
      <c r="E368" s="36"/>
      <c r="F368" s="36"/>
      <c r="G368" s="36"/>
      <c r="H368" s="36"/>
      <c r="I368" s="222"/>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5133100</v>
      </c>
      <c r="U368" s="16">
        <f t="shared" si="46"/>
        <v>7350448.57</v>
      </c>
      <c r="V368" s="16">
        <f t="shared" si="46"/>
        <v>6733587.35</v>
      </c>
      <c r="W368" s="16">
        <f t="shared" si="46"/>
        <v>1.4551915228366852E-11</v>
      </c>
      <c r="X368" s="16">
        <f t="shared" si="46"/>
        <v>31045947.750000004</v>
      </c>
      <c r="Y368" s="29">
        <f t="shared" si="44"/>
        <v>5735614.189999994</v>
      </c>
    </row>
    <row r="369" spans="1:25" ht="36" hidden="1">
      <c r="A369" s="295"/>
      <c r="B369" s="295"/>
      <c r="C369" s="295"/>
      <c r="D369" s="284"/>
      <c r="E369" s="36" t="s">
        <v>813</v>
      </c>
      <c r="F369" s="105">
        <f>J369</f>
        <v>0</v>
      </c>
      <c r="G369" s="114">
        <v>1</v>
      </c>
      <c r="H369" s="105">
        <f t="shared" si="41"/>
        <v>0</v>
      </c>
      <c r="I369" s="231">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3"/>
        <v>0</v>
      </c>
      <c r="X369" s="29"/>
      <c r="Y369" s="29">
        <f t="shared" si="44"/>
        <v>0</v>
      </c>
    </row>
    <row r="370" spans="1:25" ht="37.5">
      <c r="A370" s="295"/>
      <c r="B370" s="295"/>
      <c r="C370" s="295"/>
      <c r="D370" s="284"/>
      <c r="E370" s="36" t="s">
        <v>814</v>
      </c>
      <c r="F370" s="105">
        <f aca="true" t="shared" si="47" ref="F370:F422">J370</f>
        <v>800000</v>
      </c>
      <c r="G370" s="114">
        <v>1</v>
      </c>
      <c r="H370" s="105">
        <f t="shared" si="41"/>
        <v>800000</v>
      </c>
      <c r="I370" s="222">
        <v>3142</v>
      </c>
      <c r="J370" s="40">
        <v>800000</v>
      </c>
      <c r="K370" s="29"/>
      <c r="L370" s="29"/>
      <c r="M370" s="29"/>
      <c r="N370" s="29"/>
      <c r="O370" s="29">
        <f>100000-100000</f>
        <v>0</v>
      </c>
      <c r="P370" s="29"/>
      <c r="Q370" s="29"/>
      <c r="R370" s="29">
        <v>200000</v>
      </c>
      <c r="S370" s="29">
        <v>400000</v>
      </c>
      <c r="T370" s="29"/>
      <c r="U370" s="29">
        <v>100000</v>
      </c>
      <c r="V370" s="29">
        <v>100000</v>
      </c>
      <c r="W370" s="29">
        <f t="shared" si="43"/>
        <v>0</v>
      </c>
      <c r="X370" s="29">
        <f>29285</f>
        <v>29285</v>
      </c>
      <c r="Y370" s="29">
        <f t="shared" si="44"/>
        <v>570715</v>
      </c>
    </row>
    <row r="371" spans="1:25" ht="75">
      <c r="A371" s="295"/>
      <c r="B371" s="295"/>
      <c r="C371" s="295"/>
      <c r="D371" s="284"/>
      <c r="E371" s="36" t="s">
        <v>781</v>
      </c>
      <c r="F371" s="105"/>
      <c r="G371" s="114"/>
      <c r="H371" s="105"/>
      <c r="I371" s="222">
        <v>3142</v>
      </c>
      <c r="J371" s="40">
        <v>30000</v>
      </c>
      <c r="K371" s="29"/>
      <c r="L371" s="29"/>
      <c r="M371" s="29"/>
      <c r="N371" s="29"/>
      <c r="O371" s="29"/>
      <c r="P371" s="29"/>
      <c r="Q371" s="29"/>
      <c r="R371" s="29"/>
      <c r="S371" s="29"/>
      <c r="T371" s="29">
        <v>30000</v>
      </c>
      <c r="U371" s="29"/>
      <c r="V371" s="29"/>
      <c r="W371" s="29">
        <f t="shared" si="43"/>
        <v>0</v>
      </c>
      <c r="X371" s="29"/>
      <c r="Y371" s="29">
        <f t="shared" si="44"/>
        <v>30000</v>
      </c>
    </row>
    <row r="372" spans="1:25" ht="37.5">
      <c r="A372" s="295"/>
      <c r="B372" s="295"/>
      <c r="C372" s="295"/>
      <c r="D372" s="284"/>
      <c r="E372" s="36" t="s">
        <v>815</v>
      </c>
      <c r="F372" s="105">
        <f t="shared" si="47"/>
        <v>1470000</v>
      </c>
      <c r="G372" s="114">
        <v>1</v>
      </c>
      <c r="H372" s="105">
        <f t="shared" si="41"/>
        <v>1470000</v>
      </c>
      <c r="I372" s="222">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3"/>
        <v>0</v>
      </c>
      <c r="X372" s="29">
        <f>703473.6+331290.4</f>
        <v>1034764</v>
      </c>
      <c r="Y372" s="29">
        <f t="shared" si="44"/>
        <v>0</v>
      </c>
    </row>
    <row r="373" spans="1:25" ht="37.5">
      <c r="A373" s="295"/>
      <c r="B373" s="295"/>
      <c r="C373" s="295"/>
      <c r="D373" s="284"/>
      <c r="E373" s="36" t="s">
        <v>1105</v>
      </c>
      <c r="F373" s="105">
        <f t="shared" si="47"/>
        <v>1470000</v>
      </c>
      <c r="G373" s="114">
        <v>1</v>
      </c>
      <c r="H373" s="105">
        <f t="shared" si="41"/>
        <v>1470000</v>
      </c>
      <c r="I373" s="231">
        <v>3142</v>
      </c>
      <c r="J373" s="40">
        <v>1470000</v>
      </c>
      <c r="K373" s="29"/>
      <c r="L373" s="29"/>
      <c r="M373" s="29"/>
      <c r="N373" s="29"/>
      <c r="O373" s="29">
        <v>780000</v>
      </c>
      <c r="P373" s="29">
        <f>-62000</f>
        <v>-62000</v>
      </c>
      <c r="Q373" s="29"/>
      <c r="R373" s="29"/>
      <c r="S373" s="29"/>
      <c r="T373" s="29">
        <v>752000</v>
      </c>
      <c r="U373" s="29">
        <f>1470000-780000+62000-752000</f>
        <v>0</v>
      </c>
      <c r="V373" s="29"/>
      <c r="W373" s="29">
        <f t="shared" si="43"/>
        <v>0</v>
      </c>
      <c r="X373" s="29">
        <f>717723.5+716083.5+6693.16+10510</f>
        <v>1451010.16</v>
      </c>
      <c r="Y373" s="29">
        <f t="shared" si="44"/>
        <v>18989.840000000084</v>
      </c>
    </row>
    <row r="374" spans="1:25" ht="37.5">
      <c r="A374" s="295"/>
      <c r="B374" s="295"/>
      <c r="C374" s="295"/>
      <c r="D374" s="284"/>
      <c r="E374" s="36" t="s">
        <v>1121</v>
      </c>
      <c r="F374" s="105">
        <f t="shared" si="47"/>
        <v>990000</v>
      </c>
      <c r="G374" s="114">
        <v>1</v>
      </c>
      <c r="H374" s="105">
        <f t="shared" si="41"/>
        <v>990000</v>
      </c>
      <c r="I374" s="222">
        <v>3142</v>
      </c>
      <c r="J374" s="40">
        <v>990000</v>
      </c>
      <c r="K374" s="29"/>
      <c r="L374" s="29"/>
      <c r="M374" s="29"/>
      <c r="N374" s="29"/>
      <c r="O374" s="29">
        <v>700000</v>
      </c>
      <c r="P374" s="29">
        <f>-11000</f>
        <v>-11000</v>
      </c>
      <c r="Q374" s="29">
        <f>100000-100000</f>
        <v>0</v>
      </c>
      <c r="R374" s="29">
        <f>100000-100000</f>
        <v>0</v>
      </c>
      <c r="S374" s="29"/>
      <c r="T374" s="29">
        <v>1500</v>
      </c>
      <c r="U374" s="29">
        <f>650000-500000+11000-1500</f>
        <v>159500</v>
      </c>
      <c r="V374" s="29">
        <v>140000</v>
      </c>
      <c r="W374" s="29">
        <f t="shared" si="43"/>
        <v>0</v>
      </c>
      <c r="X374" s="29">
        <f>688660.4+1060.4</f>
        <v>689720.8</v>
      </c>
      <c r="Y374" s="29">
        <f t="shared" si="44"/>
        <v>779.1999999999534</v>
      </c>
    </row>
    <row r="375" spans="1:25" ht="37.5">
      <c r="A375" s="295"/>
      <c r="B375" s="295"/>
      <c r="C375" s="295"/>
      <c r="D375" s="284"/>
      <c r="E375" s="36" t="s">
        <v>874</v>
      </c>
      <c r="F375" s="105">
        <f t="shared" si="47"/>
        <v>1470000</v>
      </c>
      <c r="G375" s="114">
        <v>1</v>
      </c>
      <c r="H375" s="105">
        <f t="shared" si="41"/>
        <v>1470000</v>
      </c>
      <c r="I375" s="222">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3"/>
        <v>0</v>
      </c>
      <c r="X375" s="29">
        <f>625000+70500</f>
        <v>695500</v>
      </c>
      <c r="Y375" s="29">
        <f t="shared" si="44"/>
        <v>500</v>
      </c>
    </row>
    <row r="376" spans="1:25" ht="37.5">
      <c r="A376" s="295"/>
      <c r="B376" s="295"/>
      <c r="C376" s="295"/>
      <c r="D376" s="284"/>
      <c r="E376" s="36" t="s">
        <v>586</v>
      </c>
      <c r="F376" s="105">
        <f t="shared" si="47"/>
        <v>1500000</v>
      </c>
      <c r="G376" s="114"/>
      <c r="H376" s="105">
        <f t="shared" si="41"/>
        <v>1500000</v>
      </c>
      <c r="I376" s="222">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3"/>
        <v>0</v>
      </c>
      <c r="X376" s="29">
        <f>737723.66+0.01</f>
        <v>737723.67</v>
      </c>
      <c r="Y376" s="29">
        <f t="shared" si="44"/>
        <v>19381.019999999902</v>
      </c>
    </row>
    <row r="377" spans="1:25" ht="37.5">
      <c r="A377" s="295"/>
      <c r="B377" s="295"/>
      <c r="C377" s="295"/>
      <c r="D377" s="284"/>
      <c r="E377" s="36" t="s">
        <v>875</v>
      </c>
      <c r="F377" s="105">
        <f t="shared" si="47"/>
        <v>470000</v>
      </c>
      <c r="G377" s="114">
        <v>1</v>
      </c>
      <c r="H377" s="105">
        <f t="shared" si="41"/>
        <v>470000</v>
      </c>
      <c r="I377" s="231">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3"/>
        <v>0</v>
      </c>
      <c r="X377" s="29">
        <f>168500+31500</f>
        <v>200000</v>
      </c>
      <c r="Y377" s="29">
        <f t="shared" si="44"/>
        <v>0</v>
      </c>
    </row>
    <row r="378" spans="1:25" ht="36" hidden="1">
      <c r="A378" s="295"/>
      <c r="B378" s="295"/>
      <c r="C378" s="295"/>
      <c r="D378" s="284"/>
      <c r="E378" s="36" t="s">
        <v>876</v>
      </c>
      <c r="F378" s="105">
        <f t="shared" si="47"/>
        <v>0</v>
      </c>
      <c r="G378" s="114">
        <v>1</v>
      </c>
      <c r="H378" s="105">
        <f t="shared" si="41"/>
        <v>0</v>
      </c>
      <c r="I378" s="231">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3"/>
        <v>0</v>
      </c>
      <c r="X378" s="29"/>
      <c r="Y378" s="29">
        <f t="shared" si="44"/>
        <v>0</v>
      </c>
    </row>
    <row r="379" spans="1:25" ht="56.25">
      <c r="A379" s="295"/>
      <c r="B379" s="295"/>
      <c r="C379" s="295"/>
      <c r="D379" s="284"/>
      <c r="E379" s="36" t="s">
        <v>782</v>
      </c>
      <c r="F379" s="105"/>
      <c r="G379" s="114"/>
      <c r="H379" s="105"/>
      <c r="I379" s="231">
        <v>3142</v>
      </c>
      <c r="J379" s="40">
        <v>30000</v>
      </c>
      <c r="K379" s="29"/>
      <c r="L379" s="29"/>
      <c r="M379" s="29"/>
      <c r="N379" s="29"/>
      <c r="O379" s="29"/>
      <c r="P379" s="29"/>
      <c r="Q379" s="29"/>
      <c r="R379" s="29"/>
      <c r="S379" s="29"/>
      <c r="T379" s="29">
        <v>30000</v>
      </c>
      <c r="U379" s="29"/>
      <c r="V379" s="29"/>
      <c r="W379" s="29">
        <f t="shared" si="43"/>
        <v>0</v>
      </c>
      <c r="X379" s="29"/>
      <c r="Y379" s="29">
        <f t="shared" si="44"/>
        <v>30000</v>
      </c>
    </row>
    <row r="380" spans="1:25" ht="37.5">
      <c r="A380" s="295"/>
      <c r="B380" s="295"/>
      <c r="C380" s="295"/>
      <c r="D380" s="284"/>
      <c r="E380" s="43" t="s">
        <v>424</v>
      </c>
      <c r="F380" s="105">
        <f t="shared" si="47"/>
        <v>900000</v>
      </c>
      <c r="G380" s="114"/>
      <c r="H380" s="105">
        <f t="shared" si="41"/>
        <v>900000</v>
      </c>
      <c r="I380" s="222">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f>
        <v>449139</v>
      </c>
      <c r="Y380" s="29">
        <f t="shared" si="44"/>
        <v>861</v>
      </c>
    </row>
    <row r="381" spans="1:25" ht="119.25" customHeight="1" hidden="1">
      <c r="A381" s="295"/>
      <c r="B381" s="295"/>
      <c r="C381" s="295"/>
      <c r="D381" s="284"/>
      <c r="E381" s="185" t="s">
        <v>98</v>
      </c>
      <c r="F381" s="198">
        <f t="shared" si="47"/>
        <v>0</v>
      </c>
      <c r="G381" s="199">
        <v>1</v>
      </c>
      <c r="H381" s="198">
        <f t="shared" si="41"/>
        <v>0</v>
      </c>
      <c r="I381" s="229">
        <v>3142</v>
      </c>
      <c r="J381" s="200">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3"/>
        <v>0</v>
      </c>
      <c r="X381" s="29"/>
      <c r="Y381" s="29">
        <f t="shared" si="44"/>
        <v>0</v>
      </c>
    </row>
    <row r="382" spans="1:25" ht="99.75" customHeight="1">
      <c r="A382" s="295"/>
      <c r="B382" s="295"/>
      <c r="C382" s="295"/>
      <c r="D382" s="284"/>
      <c r="E382" s="195" t="s">
        <v>414</v>
      </c>
      <c r="F382" s="201">
        <f t="shared" si="47"/>
        <v>1981000</v>
      </c>
      <c r="G382" s="202">
        <v>1</v>
      </c>
      <c r="H382" s="201">
        <f t="shared" si="41"/>
        <v>1981000</v>
      </c>
      <c r="I382" s="268">
        <v>3142</v>
      </c>
      <c r="J382" s="204">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3"/>
        <v>0</v>
      </c>
      <c r="X382" s="29">
        <f>853039.2+7754.63</f>
        <v>860793.83</v>
      </c>
      <c r="Y382" s="29">
        <f t="shared" si="44"/>
        <v>1120206.17</v>
      </c>
    </row>
    <row r="383" spans="1:25" ht="37.5">
      <c r="A383" s="295"/>
      <c r="B383" s="295"/>
      <c r="C383" s="295"/>
      <c r="D383" s="284"/>
      <c r="E383" s="27" t="s">
        <v>877</v>
      </c>
      <c r="F383" s="105">
        <f t="shared" si="47"/>
        <v>1450000</v>
      </c>
      <c r="G383" s="114">
        <v>1</v>
      </c>
      <c r="H383" s="105">
        <f t="shared" si="41"/>
        <v>1450000</v>
      </c>
      <c r="I383" s="222">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3"/>
        <v>0</v>
      </c>
      <c r="X383" s="29">
        <f>600000+4206+154749+45</f>
        <v>759000</v>
      </c>
      <c r="Y383" s="29">
        <f t="shared" si="44"/>
        <v>0</v>
      </c>
    </row>
    <row r="384" spans="1:25" ht="56.25">
      <c r="A384" s="295"/>
      <c r="B384" s="295"/>
      <c r="C384" s="295"/>
      <c r="D384" s="284"/>
      <c r="E384" s="36" t="s">
        <v>489</v>
      </c>
      <c r="F384" s="105">
        <f t="shared" si="47"/>
        <v>1400000</v>
      </c>
      <c r="G384" s="114">
        <v>1</v>
      </c>
      <c r="H384" s="105">
        <f t="shared" si="41"/>
        <v>1400000</v>
      </c>
      <c r="I384" s="222">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3"/>
        <v>0</v>
      </c>
      <c r="X384" s="29">
        <f>722994</f>
        <v>722994</v>
      </c>
      <c r="Y384" s="29">
        <f t="shared" si="44"/>
        <v>177006</v>
      </c>
    </row>
    <row r="385" spans="1:25" ht="37.5">
      <c r="A385" s="295"/>
      <c r="B385" s="295"/>
      <c r="C385" s="295"/>
      <c r="D385" s="284"/>
      <c r="E385" s="36" t="s">
        <v>789</v>
      </c>
      <c r="F385" s="105"/>
      <c r="G385" s="114"/>
      <c r="H385" s="105"/>
      <c r="I385" s="222">
        <v>3142</v>
      </c>
      <c r="J385" s="40">
        <v>511000</v>
      </c>
      <c r="K385" s="29"/>
      <c r="L385" s="29"/>
      <c r="M385" s="29"/>
      <c r="N385" s="29"/>
      <c r="O385" s="29"/>
      <c r="P385" s="29"/>
      <c r="Q385" s="29"/>
      <c r="R385" s="29">
        <v>256000</v>
      </c>
      <c r="S385" s="29"/>
      <c r="T385" s="29">
        <v>50000</v>
      </c>
      <c r="U385" s="29">
        <v>25000</v>
      </c>
      <c r="V385" s="29">
        <v>180000</v>
      </c>
      <c r="W385" s="29">
        <f t="shared" si="43"/>
        <v>0</v>
      </c>
      <c r="X385" s="29">
        <f>246065.5</f>
        <v>246065.5</v>
      </c>
      <c r="Y385" s="29">
        <f t="shared" si="44"/>
        <v>59934.5</v>
      </c>
    </row>
    <row r="386" spans="1:25" ht="56.25">
      <c r="A386" s="295"/>
      <c r="B386" s="295"/>
      <c r="C386" s="295"/>
      <c r="D386" s="284"/>
      <c r="E386" s="36" t="s">
        <v>783</v>
      </c>
      <c r="F386" s="105"/>
      <c r="G386" s="114"/>
      <c r="H386" s="105"/>
      <c r="I386" s="222">
        <v>3142</v>
      </c>
      <c r="J386" s="40">
        <v>30000</v>
      </c>
      <c r="K386" s="29"/>
      <c r="L386" s="29"/>
      <c r="M386" s="29"/>
      <c r="N386" s="29"/>
      <c r="O386" s="29"/>
      <c r="P386" s="29"/>
      <c r="Q386" s="29"/>
      <c r="R386" s="29"/>
      <c r="S386" s="29"/>
      <c r="T386" s="29">
        <v>30000</v>
      </c>
      <c r="U386" s="29"/>
      <c r="V386" s="29"/>
      <c r="W386" s="29">
        <f t="shared" si="43"/>
        <v>0</v>
      </c>
      <c r="X386" s="29"/>
      <c r="Y386" s="29">
        <f t="shared" si="44"/>
        <v>30000</v>
      </c>
    </row>
    <row r="387" spans="1:25" ht="37.5">
      <c r="A387" s="295"/>
      <c r="B387" s="295"/>
      <c r="C387" s="295"/>
      <c r="D387" s="284"/>
      <c r="E387" s="36" t="s">
        <v>952</v>
      </c>
      <c r="F387" s="105">
        <f t="shared" si="47"/>
        <v>550000</v>
      </c>
      <c r="G387" s="114">
        <v>1</v>
      </c>
      <c r="H387" s="105">
        <f t="shared" si="41"/>
        <v>550000</v>
      </c>
      <c r="I387" s="231">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3"/>
        <v>0</v>
      </c>
      <c r="X387" s="29">
        <f>198050+75911.8+51897.3</f>
        <v>325859.1</v>
      </c>
      <c r="Y387" s="29">
        <f t="shared" si="44"/>
        <v>224140.90000000002</v>
      </c>
    </row>
    <row r="388" spans="1:25" ht="18" hidden="1">
      <c r="A388" s="295"/>
      <c r="B388" s="295"/>
      <c r="C388" s="295"/>
      <c r="D388" s="284"/>
      <c r="E388" s="36" t="s">
        <v>953</v>
      </c>
      <c r="F388" s="105">
        <f t="shared" si="47"/>
        <v>0</v>
      </c>
      <c r="G388" s="114">
        <v>1</v>
      </c>
      <c r="H388" s="105">
        <f t="shared" si="41"/>
        <v>0</v>
      </c>
      <c r="I388" s="222">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3"/>
        <v>0</v>
      </c>
      <c r="X388" s="29"/>
      <c r="Y388" s="29">
        <f t="shared" si="44"/>
        <v>0</v>
      </c>
    </row>
    <row r="389" spans="1:25" ht="37.5">
      <c r="A389" s="295"/>
      <c r="B389" s="295"/>
      <c r="C389" s="295"/>
      <c r="D389" s="284"/>
      <c r="E389" s="36" t="s">
        <v>469</v>
      </c>
      <c r="F389" s="105"/>
      <c r="G389" s="114"/>
      <c r="H389" s="105"/>
      <c r="I389" s="222">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f>
        <v>480877.57</v>
      </c>
      <c r="Y389" s="29">
        <f t="shared" si="44"/>
        <v>228122.43</v>
      </c>
    </row>
    <row r="390" spans="1:25" ht="18" hidden="1">
      <c r="A390" s="295"/>
      <c r="B390" s="295"/>
      <c r="C390" s="295"/>
      <c r="D390" s="284"/>
      <c r="E390" s="36" t="s">
        <v>470</v>
      </c>
      <c r="F390" s="105"/>
      <c r="G390" s="114"/>
      <c r="H390" s="105"/>
      <c r="I390" s="222">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9">
        <f t="shared" si="44"/>
        <v>0</v>
      </c>
    </row>
    <row r="391" spans="1:25" ht="37.5">
      <c r="A391" s="295"/>
      <c r="B391" s="295"/>
      <c r="C391" s="295"/>
      <c r="D391" s="284"/>
      <c r="E391" s="36" t="s">
        <v>954</v>
      </c>
      <c r="F391" s="105">
        <f t="shared" si="47"/>
        <v>700000</v>
      </c>
      <c r="G391" s="114">
        <v>1</v>
      </c>
      <c r="H391" s="105">
        <f t="shared" si="41"/>
        <v>700000</v>
      </c>
      <c r="I391" s="222">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3"/>
        <v>0</v>
      </c>
      <c r="X391" s="29">
        <f>340000+6026</f>
        <v>346026</v>
      </c>
      <c r="Y391" s="29">
        <f t="shared" si="44"/>
        <v>353974</v>
      </c>
    </row>
    <row r="392" spans="1:25" ht="37.5">
      <c r="A392" s="295"/>
      <c r="B392" s="295"/>
      <c r="C392" s="295"/>
      <c r="D392" s="284"/>
      <c r="E392" s="36" t="s">
        <v>1119</v>
      </c>
      <c r="F392" s="105">
        <f t="shared" si="47"/>
        <v>1470000</v>
      </c>
      <c r="G392" s="114">
        <v>1</v>
      </c>
      <c r="H392" s="105">
        <f t="shared" si="41"/>
        <v>1470000</v>
      </c>
      <c r="I392" s="231">
        <v>3142</v>
      </c>
      <c r="J392" s="40">
        <v>1470000</v>
      </c>
      <c r="K392" s="29"/>
      <c r="L392" s="29"/>
      <c r="M392" s="29"/>
      <c r="N392" s="29"/>
      <c r="O392" s="29">
        <f>100000-100000</f>
        <v>0</v>
      </c>
      <c r="P392" s="29"/>
      <c r="Q392" s="29">
        <f>70000+665000</f>
        <v>735000</v>
      </c>
      <c r="R392" s="29"/>
      <c r="S392" s="29"/>
      <c r="T392" s="29"/>
      <c r="U392" s="29">
        <v>300000</v>
      </c>
      <c r="V392" s="29">
        <f>1000000+100000-665000</f>
        <v>435000</v>
      </c>
      <c r="W392" s="29">
        <f t="shared" si="43"/>
        <v>0</v>
      </c>
      <c r="X392" s="29">
        <f>641832.7+26935.8</f>
        <v>668768.5</v>
      </c>
      <c r="Y392" s="29">
        <f t="shared" si="44"/>
        <v>66231.5</v>
      </c>
    </row>
    <row r="393" spans="1:25" ht="117" customHeight="1">
      <c r="A393" s="295"/>
      <c r="B393" s="295"/>
      <c r="C393" s="295"/>
      <c r="D393" s="284"/>
      <c r="E393" s="186" t="s">
        <v>496</v>
      </c>
      <c r="F393" s="198">
        <f t="shared" si="47"/>
        <v>985340</v>
      </c>
      <c r="G393" s="199">
        <v>1</v>
      </c>
      <c r="H393" s="198">
        <f t="shared" si="41"/>
        <v>985340</v>
      </c>
      <c r="I393" s="229">
        <v>3142</v>
      </c>
      <c r="J393" s="200">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3"/>
        <v>0</v>
      </c>
      <c r="X393" s="29">
        <f>446340+520001.19+14110</f>
        <v>980451.19</v>
      </c>
      <c r="Y393" s="29">
        <f t="shared" si="44"/>
        <v>4888.810000000056</v>
      </c>
    </row>
    <row r="394" spans="1:25" ht="54" hidden="1">
      <c r="A394" s="295"/>
      <c r="B394" s="295"/>
      <c r="C394" s="295"/>
      <c r="D394" s="284"/>
      <c r="E394" s="36" t="s">
        <v>549</v>
      </c>
      <c r="F394" s="105">
        <f t="shared" si="47"/>
        <v>0</v>
      </c>
      <c r="G394" s="114">
        <v>1</v>
      </c>
      <c r="H394" s="105">
        <f t="shared" si="41"/>
        <v>0</v>
      </c>
      <c r="I394" s="222">
        <v>3142</v>
      </c>
      <c r="J394" s="40">
        <f>250000-250000</f>
        <v>0</v>
      </c>
      <c r="K394" s="29"/>
      <c r="L394" s="29"/>
      <c r="M394" s="29"/>
      <c r="N394" s="29"/>
      <c r="O394" s="29"/>
      <c r="P394" s="29"/>
      <c r="Q394" s="29"/>
      <c r="R394" s="29"/>
      <c r="S394" s="29"/>
      <c r="T394" s="29">
        <f>100000-100000</f>
        <v>0</v>
      </c>
      <c r="U394" s="29"/>
      <c r="V394" s="29">
        <f>150000-150000</f>
        <v>0</v>
      </c>
      <c r="W394" s="29">
        <f t="shared" si="43"/>
        <v>0</v>
      </c>
      <c r="X394" s="29"/>
      <c r="Y394" s="29">
        <f t="shared" si="44"/>
        <v>0</v>
      </c>
    </row>
    <row r="395" spans="1:25" ht="56.25">
      <c r="A395" s="295"/>
      <c r="B395" s="295"/>
      <c r="C395" s="295"/>
      <c r="D395" s="284"/>
      <c r="E395" s="43" t="s">
        <v>371</v>
      </c>
      <c r="F395" s="160">
        <f t="shared" si="47"/>
        <v>1440000</v>
      </c>
      <c r="G395" s="114">
        <v>1</v>
      </c>
      <c r="H395" s="160">
        <f t="shared" si="41"/>
        <v>1440000</v>
      </c>
      <c r="I395" s="231">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3"/>
        <v>0</v>
      </c>
      <c r="X395" s="29">
        <f>72000+328000</f>
        <v>400000</v>
      </c>
      <c r="Y395" s="29">
        <f t="shared" si="44"/>
        <v>0</v>
      </c>
    </row>
    <row r="396" spans="1:25" ht="37.5">
      <c r="A396" s="295"/>
      <c r="B396" s="295"/>
      <c r="C396" s="295"/>
      <c r="D396" s="284"/>
      <c r="E396" s="36" t="s">
        <v>1106</v>
      </c>
      <c r="F396" s="105">
        <f t="shared" si="47"/>
        <v>1290000</v>
      </c>
      <c r="G396" s="114">
        <v>1</v>
      </c>
      <c r="H396" s="105">
        <f t="shared" si="41"/>
        <v>1290000</v>
      </c>
      <c r="I396" s="222">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3"/>
        <v>0</v>
      </c>
      <c r="X396" s="29">
        <f>564926+483410+100000</f>
        <v>1148336</v>
      </c>
      <c r="Y396" s="29">
        <f t="shared" si="44"/>
        <v>109664</v>
      </c>
    </row>
    <row r="397" spans="1:25" ht="36" hidden="1">
      <c r="A397" s="295"/>
      <c r="B397" s="295"/>
      <c r="C397" s="295"/>
      <c r="D397" s="284"/>
      <c r="E397" s="36" t="s">
        <v>1120</v>
      </c>
      <c r="F397" s="105">
        <f t="shared" si="47"/>
        <v>0</v>
      </c>
      <c r="G397" s="114">
        <v>1</v>
      </c>
      <c r="H397" s="105">
        <f t="shared" si="41"/>
        <v>0</v>
      </c>
      <c r="I397" s="222">
        <v>3142</v>
      </c>
      <c r="J397" s="40">
        <f>100000-100000</f>
        <v>0</v>
      </c>
      <c r="K397" s="29"/>
      <c r="L397" s="29"/>
      <c r="M397" s="29"/>
      <c r="N397" s="29"/>
      <c r="O397" s="29"/>
      <c r="P397" s="29"/>
      <c r="Q397" s="29">
        <f>50000-50000</f>
        <v>0</v>
      </c>
      <c r="R397" s="29"/>
      <c r="S397" s="29"/>
      <c r="T397" s="29">
        <f>50000-50000</f>
        <v>0</v>
      </c>
      <c r="U397" s="29"/>
      <c r="V397" s="29">
        <f>50000-50000</f>
        <v>0</v>
      </c>
      <c r="W397" s="29">
        <f t="shared" si="43"/>
        <v>0</v>
      </c>
      <c r="X397" s="29"/>
      <c r="Y397" s="29">
        <f t="shared" si="44"/>
        <v>0</v>
      </c>
    </row>
    <row r="398" spans="1:25" ht="37.5">
      <c r="A398" s="295"/>
      <c r="B398" s="295"/>
      <c r="C398" s="295"/>
      <c r="D398" s="284"/>
      <c r="E398" s="36" t="s">
        <v>900</v>
      </c>
      <c r="F398" s="105">
        <f t="shared" si="47"/>
        <v>700000</v>
      </c>
      <c r="G398" s="114">
        <v>1</v>
      </c>
      <c r="H398" s="105">
        <f t="shared" si="41"/>
        <v>700000</v>
      </c>
      <c r="I398" s="231">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3"/>
        <v>0</v>
      </c>
      <c r="X398" s="29">
        <f>308275+51711+235090.53+882.78</f>
        <v>595959.31</v>
      </c>
      <c r="Y398" s="29">
        <f t="shared" si="44"/>
        <v>104040.68999999994</v>
      </c>
    </row>
    <row r="399" spans="1:25" ht="37.5">
      <c r="A399" s="295"/>
      <c r="B399" s="295"/>
      <c r="C399" s="295"/>
      <c r="D399" s="284"/>
      <c r="E399" s="36" t="s">
        <v>901</v>
      </c>
      <c r="F399" s="105">
        <f t="shared" si="47"/>
        <v>1480000</v>
      </c>
      <c r="G399" s="114">
        <v>1</v>
      </c>
      <c r="H399" s="105">
        <f t="shared" si="41"/>
        <v>1480000</v>
      </c>
      <c r="I399" s="222">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3"/>
        <v>0</v>
      </c>
      <c r="X399" s="29">
        <f>708267+6178.2+258523.6</f>
        <v>972968.7999999999</v>
      </c>
      <c r="Y399" s="29">
        <f t="shared" si="44"/>
        <v>1509.4000000000233</v>
      </c>
    </row>
    <row r="400" spans="1:25" ht="37.5">
      <c r="A400" s="295"/>
      <c r="B400" s="295"/>
      <c r="C400" s="295"/>
      <c r="D400" s="284"/>
      <c r="E400" s="36" t="s">
        <v>902</v>
      </c>
      <c r="F400" s="105">
        <f t="shared" si="47"/>
        <v>1100000</v>
      </c>
      <c r="G400" s="114">
        <v>1</v>
      </c>
      <c r="H400" s="105">
        <f t="shared" si="41"/>
        <v>1100000</v>
      </c>
      <c r="I400" s="222">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f>
        <v>120000</v>
      </c>
      <c r="V400" s="29">
        <v>400000</v>
      </c>
      <c r="W400" s="29">
        <f t="shared" si="43"/>
        <v>0</v>
      </c>
      <c r="X400" s="29">
        <f>59364.8+509679.6</f>
        <v>569044.4</v>
      </c>
      <c r="Y400" s="29">
        <f t="shared" si="44"/>
        <v>10955.599999999977</v>
      </c>
    </row>
    <row r="401" spans="1:25" ht="56.25">
      <c r="A401" s="295"/>
      <c r="B401" s="295"/>
      <c r="C401" s="295"/>
      <c r="D401" s="284"/>
      <c r="E401" s="36" t="s">
        <v>59</v>
      </c>
      <c r="F401" s="105">
        <f t="shared" si="47"/>
        <v>1470000</v>
      </c>
      <c r="G401" s="114">
        <v>1</v>
      </c>
      <c r="H401" s="105">
        <f aca="true" t="shared" si="48" ref="H401:H432">J401</f>
        <v>1470000</v>
      </c>
      <c r="I401" s="231">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3"/>
        <v>0</v>
      </c>
      <c r="X401" s="29">
        <f>703162.8+29919.9+512510.5+18770.89</f>
        <v>1264364.09</v>
      </c>
      <c r="Y401" s="29">
        <f t="shared" si="44"/>
        <v>81246.40999999992</v>
      </c>
    </row>
    <row r="402" spans="1:25" ht="56.25">
      <c r="A402" s="295"/>
      <c r="B402" s="295"/>
      <c r="C402" s="295"/>
      <c r="D402" s="284"/>
      <c r="E402" s="36" t="s">
        <v>784</v>
      </c>
      <c r="F402" s="105">
        <f t="shared" si="47"/>
        <v>30000</v>
      </c>
      <c r="G402" s="114"/>
      <c r="H402" s="105">
        <f t="shared" si="48"/>
        <v>30000</v>
      </c>
      <c r="I402" s="231">
        <v>3142</v>
      </c>
      <c r="J402" s="40">
        <v>30000</v>
      </c>
      <c r="K402" s="29"/>
      <c r="L402" s="29"/>
      <c r="M402" s="282"/>
      <c r="N402" s="29"/>
      <c r="O402" s="29"/>
      <c r="P402" s="29"/>
      <c r="Q402" s="29"/>
      <c r="R402" s="29"/>
      <c r="S402" s="29"/>
      <c r="T402" s="29">
        <v>30000</v>
      </c>
      <c r="U402" s="29"/>
      <c r="V402" s="29"/>
      <c r="W402" s="29">
        <f t="shared" si="43"/>
        <v>0</v>
      </c>
      <c r="X402" s="29"/>
      <c r="Y402" s="29">
        <f t="shared" si="44"/>
        <v>30000</v>
      </c>
    </row>
    <row r="403" spans="1:25" ht="93.75">
      <c r="A403" s="295"/>
      <c r="B403" s="295"/>
      <c r="C403" s="295"/>
      <c r="D403" s="284"/>
      <c r="E403" s="196" t="s">
        <v>848</v>
      </c>
      <c r="F403" s="201">
        <f t="shared" si="47"/>
        <v>315000</v>
      </c>
      <c r="G403" s="202">
        <v>1</v>
      </c>
      <c r="H403" s="201">
        <f t="shared" si="48"/>
        <v>315000</v>
      </c>
      <c r="I403" s="230">
        <v>3142</v>
      </c>
      <c r="J403" s="204">
        <v>315000</v>
      </c>
      <c r="K403" s="11"/>
      <c r="L403" s="11">
        <v>100000</v>
      </c>
      <c r="M403" s="197"/>
      <c r="N403" s="11">
        <v>215000</v>
      </c>
      <c r="O403" s="11">
        <v>-315000</v>
      </c>
      <c r="P403" s="11"/>
      <c r="Q403" s="11">
        <f>70000-10000</f>
        <v>60000</v>
      </c>
      <c r="R403" s="11">
        <f>245000+10000</f>
        <v>255000</v>
      </c>
      <c r="S403" s="11"/>
      <c r="T403" s="11"/>
      <c r="U403" s="11"/>
      <c r="V403" s="11"/>
      <c r="W403" s="29">
        <f t="shared" si="43"/>
        <v>0</v>
      </c>
      <c r="X403" s="29"/>
      <c r="Y403" s="29">
        <f t="shared" si="44"/>
        <v>315000</v>
      </c>
    </row>
    <row r="404" spans="1:25" ht="56.25">
      <c r="A404" s="295"/>
      <c r="B404" s="295"/>
      <c r="C404" s="295"/>
      <c r="D404" s="284"/>
      <c r="E404" s="36" t="s">
        <v>785</v>
      </c>
      <c r="F404" s="105">
        <f t="shared" si="47"/>
        <v>30000</v>
      </c>
      <c r="G404" s="114"/>
      <c r="H404" s="105">
        <f t="shared" si="48"/>
        <v>30000</v>
      </c>
      <c r="I404" s="222">
        <v>3142</v>
      </c>
      <c r="J404" s="40">
        <v>30000</v>
      </c>
      <c r="K404" s="29"/>
      <c r="L404" s="29"/>
      <c r="M404" s="216"/>
      <c r="N404" s="29"/>
      <c r="O404" s="29"/>
      <c r="P404" s="29"/>
      <c r="Q404" s="29"/>
      <c r="R404" s="29"/>
      <c r="S404" s="29"/>
      <c r="T404" s="29">
        <v>30000</v>
      </c>
      <c r="U404" s="29"/>
      <c r="V404" s="29"/>
      <c r="W404" s="29">
        <f t="shared" si="43"/>
        <v>0</v>
      </c>
      <c r="X404" s="29"/>
      <c r="Y404" s="29">
        <f t="shared" si="44"/>
        <v>30000</v>
      </c>
    </row>
    <row r="405" spans="1:25" ht="37.5">
      <c r="A405" s="295"/>
      <c r="B405" s="295"/>
      <c r="C405" s="295"/>
      <c r="D405" s="284"/>
      <c r="E405" s="36" t="s">
        <v>931</v>
      </c>
      <c r="F405" s="105">
        <f t="shared" si="47"/>
        <v>400000</v>
      </c>
      <c r="G405" s="114">
        <v>1</v>
      </c>
      <c r="H405" s="105">
        <f t="shared" si="48"/>
        <v>400000</v>
      </c>
      <c r="I405" s="222">
        <v>3142</v>
      </c>
      <c r="J405" s="40">
        <v>400000</v>
      </c>
      <c r="K405" s="29"/>
      <c r="L405" s="29"/>
      <c r="M405" s="29"/>
      <c r="N405" s="29"/>
      <c r="O405" s="29"/>
      <c r="P405" s="29"/>
      <c r="Q405" s="29">
        <f>160000</f>
        <v>160000</v>
      </c>
      <c r="R405" s="29">
        <f>100000-100000</f>
        <v>0</v>
      </c>
      <c r="S405" s="29"/>
      <c r="T405" s="29">
        <f>300000-60000</f>
        <v>240000</v>
      </c>
      <c r="U405" s="29"/>
      <c r="V405" s="29"/>
      <c r="W405" s="29">
        <f t="shared" si="43"/>
        <v>0</v>
      </c>
      <c r="X405" s="29">
        <f>160000+233184.77</f>
        <v>393184.77</v>
      </c>
      <c r="Y405" s="29">
        <f t="shared" si="44"/>
        <v>6815.229999999981</v>
      </c>
    </row>
    <row r="406" spans="1:25" ht="79.5" customHeight="1">
      <c r="A406" s="295"/>
      <c r="B406" s="295"/>
      <c r="C406" s="295"/>
      <c r="D406" s="284"/>
      <c r="E406" s="196" t="s">
        <v>653</v>
      </c>
      <c r="F406" s="201">
        <f t="shared" si="47"/>
        <v>5084492.859999999</v>
      </c>
      <c r="G406" s="202">
        <v>1</v>
      </c>
      <c r="H406" s="201">
        <f t="shared" si="48"/>
        <v>5084492.859999999</v>
      </c>
      <c r="I406" s="268">
        <v>3142</v>
      </c>
      <c r="J406" s="204">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3"/>
        <v>0</v>
      </c>
      <c r="X406" s="29">
        <f>721401+78000+594671.52+106516.56+65814+37845.6+794215.2+1436.47+12261.99+11974.8+13192.97</f>
        <v>2437330.1100000003</v>
      </c>
      <c r="Y406" s="29">
        <f t="shared" si="44"/>
        <v>293414.74999999953</v>
      </c>
    </row>
    <row r="407" spans="1:25" ht="117.75" customHeight="1">
      <c r="A407" s="295"/>
      <c r="B407" s="295"/>
      <c r="C407" s="295"/>
      <c r="D407" s="284"/>
      <c r="E407" s="186" t="s">
        <v>234</v>
      </c>
      <c r="F407" s="198">
        <f t="shared" si="47"/>
        <v>825317</v>
      </c>
      <c r="G407" s="199">
        <v>1</v>
      </c>
      <c r="H407" s="198">
        <f t="shared" si="48"/>
        <v>825317</v>
      </c>
      <c r="I407" s="229">
        <v>3142</v>
      </c>
      <c r="J407" s="200">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3"/>
        <v>0</v>
      </c>
      <c r="X407" s="29">
        <f>410904.02+404717.44</f>
        <v>815621.46</v>
      </c>
      <c r="Y407" s="29">
        <f t="shared" si="44"/>
        <v>9695.540000000037</v>
      </c>
    </row>
    <row r="408" spans="1:25" ht="37.5">
      <c r="A408" s="295"/>
      <c r="B408" s="295"/>
      <c r="C408" s="295"/>
      <c r="D408" s="284"/>
      <c r="E408" s="36" t="s">
        <v>1144</v>
      </c>
      <c r="F408" s="105">
        <f t="shared" si="47"/>
        <v>1360000</v>
      </c>
      <c r="G408" s="114">
        <v>1</v>
      </c>
      <c r="H408" s="105">
        <f t="shared" si="48"/>
        <v>1360000</v>
      </c>
      <c r="I408" s="222">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3"/>
        <v>0</v>
      </c>
      <c r="X408" s="29">
        <f>20416.42+26619.58+220574+428080.17</f>
        <v>695690.1699999999</v>
      </c>
      <c r="Y408" s="29">
        <f t="shared" si="44"/>
        <v>1920.780000000028</v>
      </c>
    </row>
    <row r="409" spans="1:25" ht="37.5">
      <c r="A409" s="295"/>
      <c r="B409" s="295"/>
      <c r="C409" s="295"/>
      <c r="D409" s="284"/>
      <c r="E409" s="36" t="s">
        <v>778</v>
      </c>
      <c r="F409" s="105">
        <f t="shared" si="47"/>
        <v>1470000</v>
      </c>
      <c r="G409" s="114">
        <v>1</v>
      </c>
      <c r="H409" s="105">
        <f t="shared" si="48"/>
        <v>1470000</v>
      </c>
      <c r="I409" s="231">
        <v>3142</v>
      </c>
      <c r="J409" s="40">
        <v>1470000</v>
      </c>
      <c r="K409" s="29"/>
      <c r="L409" s="29"/>
      <c r="M409" s="29"/>
      <c r="N409" s="29"/>
      <c r="O409" s="29">
        <v>600000</v>
      </c>
      <c r="P409" s="29"/>
      <c r="Q409" s="29">
        <f>70000+110000</f>
        <v>180000</v>
      </c>
      <c r="R409" s="29">
        <f>-97000</f>
        <v>-97000</v>
      </c>
      <c r="S409" s="29"/>
      <c r="T409" s="29">
        <f>200000-112000</f>
        <v>88000</v>
      </c>
      <c r="U409" s="29">
        <f>1100000-600000-110000</f>
        <v>390000</v>
      </c>
      <c r="V409" s="29">
        <f>100000+97000+112000</f>
        <v>309000</v>
      </c>
      <c r="W409" s="29">
        <f t="shared" si="43"/>
        <v>0</v>
      </c>
      <c r="X409" s="29">
        <f>600000+31705+10384</f>
        <v>642089</v>
      </c>
      <c r="Y409" s="29">
        <f t="shared" si="44"/>
        <v>128911</v>
      </c>
    </row>
    <row r="410" spans="1:25" ht="56.25">
      <c r="A410" s="295"/>
      <c r="B410" s="295"/>
      <c r="C410" s="295"/>
      <c r="D410" s="284"/>
      <c r="E410" s="36" t="s">
        <v>548</v>
      </c>
      <c r="F410" s="105">
        <f t="shared" si="47"/>
        <v>1366900</v>
      </c>
      <c r="G410" s="114">
        <v>1</v>
      </c>
      <c r="H410" s="105">
        <f t="shared" si="48"/>
        <v>1366900</v>
      </c>
      <c r="I410" s="222">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3"/>
        <v>0</v>
      </c>
      <c r="X410" s="29">
        <f>405502.24+10298+0.08+20977+946171.89</f>
        <v>1382949.21</v>
      </c>
      <c r="Y410" s="29">
        <f t="shared" si="44"/>
        <v>-16049.209999999963</v>
      </c>
    </row>
    <row r="411" spans="1:25" ht="37.5">
      <c r="A411" s="295"/>
      <c r="B411" s="295"/>
      <c r="C411" s="295"/>
      <c r="D411" s="284"/>
      <c r="E411" s="36" t="s">
        <v>1145</v>
      </c>
      <c r="F411" s="105">
        <f t="shared" si="47"/>
        <v>872000</v>
      </c>
      <c r="G411" s="114">
        <v>1</v>
      </c>
      <c r="H411" s="105">
        <f t="shared" si="48"/>
        <v>872000</v>
      </c>
      <c r="I411" s="222">
        <v>3142</v>
      </c>
      <c r="J411" s="40">
        <f>1470000-198000-400000</f>
        <v>872000</v>
      </c>
      <c r="K411" s="29"/>
      <c r="L411" s="29"/>
      <c r="M411" s="29"/>
      <c r="N411" s="29"/>
      <c r="O411" s="29">
        <v>500000</v>
      </c>
      <c r="P411" s="29">
        <f>-46000</f>
        <v>-46000</v>
      </c>
      <c r="Q411" s="29">
        <f>70000-70000</f>
        <v>0</v>
      </c>
      <c r="R411" s="29"/>
      <c r="S411" s="29"/>
      <c r="T411" s="29">
        <f>400000-198000+46000+60000-260000+200000</f>
        <v>248000</v>
      </c>
      <c r="U411" s="29">
        <f>300000+128300-400000-28300+10000</f>
        <v>10000</v>
      </c>
      <c r="V411" s="29">
        <f>571700-471700+260000-200000</f>
        <v>160000</v>
      </c>
      <c r="W411" s="29">
        <f t="shared" si="43"/>
        <v>0</v>
      </c>
      <c r="X411" s="29">
        <f>453966.2</f>
        <v>453966.2</v>
      </c>
      <c r="Y411" s="29">
        <f t="shared" si="44"/>
        <v>248033.8</v>
      </c>
    </row>
    <row r="412" spans="1:25" ht="75">
      <c r="A412" s="295"/>
      <c r="B412" s="295"/>
      <c r="C412" s="295"/>
      <c r="D412" s="284"/>
      <c r="E412" s="36" t="s">
        <v>1107</v>
      </c>
      <c r="F412" s="105"/>
      <c r="G412" s="114"/>
      <c r="H412" s="105"/>
      <c r="I412" s="222">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f>
        <v>1053601.05</v>
      </c>
      <c r="Y412" s="29">
        <f t="shared" si="44"/>
        <v>104398.94999999995</v>
      </c>
    </row>
    <row r="413" spans="1:25" ht="56.25">
      <c r="A413" s="295"/>
      <c r="B413" s="295"/>
      <c r="C413" s="295"/>
      <c r="D413" s="284"/>
      <c r="E413" s="36" t="s">
        <v>483</v>
      </c>
      <c r="F413" s="105">
        <f t="shared" si="47"/>
        <v>1470000</v>
      </c>
      <c r="G413" s="114">
        <v>1</v>
      </c>
      <c r="H413" s="105">
        <f t="shared" si="48"/>
        <v>1470000</v>
      </c>
      <c r="I413" s="231">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3"/>
        <v>0</v>
      </c>
      <c r="X413" s="29">
        <f>239000+457000</f>
        <v>696000</v>
      </c>
      <c r="Y413" s="29">
        <f t="shared" si="44"/>
        <v>34000</v>
      </c>
    </row>
    <row r="414" spans="1:25" ht="56.25">
      <c r="A414" s="295"/>
      <c r="B414" s="295"/>
      <c r="C414" s="295"/>
      <c r="D414" s="284"/>
      <c r="E414" s="36" t="s">
        <v>1027</v>
      </c>
      <c r="F414" s="105">
        <f t="shared" si="47"/>
        <v>1400000</v>
      </c>
      <c r="G414" s="114">
        <v>1</v>
      </c>
      <c r="H414" s="105">
        <f t="shared" si="48"/>
        <v>1400000</v>
      </c>
      <c r="I414" s="222">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3"/>
        <v>0</v>
      </c>
      <c r="X414" s="29">
        <f>530631+21859.2</f>
        <v>552490.2</v>
      </c>
      <c r="Y414" s="29">
        <f t="shared" si="44"/>
        <v>406509.80000000005</v>
      </c>
    </row>
    <row r="415" spans="1:25" ht="37.5">
      <c r="A415" s="295"/>
      <c r="B415" s="295"/>
      <c r="C415" s="295"/>
      <c r="D415" s="284"/>
      <c r="E415" s="36" t="s">
        <v>296</v>
      </c>
      <c r="F415" s="105">
        <f t="shared" si="47"/>
        <v>1470000</v>
      </c>
      <c r="G415" s="114">
        <v>1</v>
      </c>
      <c r="H415" s="105">
        <f t="shared" si="48"/>
        <v>1470000</v>
      </c>
      <c r="I415" s="222">
        <v>3142</v>
      </c>
      <c r="J415" s="40">
        <v>1470000</v>
      </c>
      <c r="K415" s="29"/>
      <c r="L415" s="29"/>
      <c r="M415" s="29">
        <f>600000-600000</f>
        <v>0</v>
      </c>
      <c r="N415" s="29"/>
      <c r="O415" s="29">
        <v>600000</v>
      </c>
      <c r="P415" s="29"/>
      <c r="Q415" s="29">
        <f>70000-70000</f>
        <v>0</v>
      </c>
      <c r="R415" s="29"/>
      <c r="S415" s="29"/>
      <c r="T415" s="29">
        <f>700000-600000</f>
        <v>100000</v>
      </c>
      <c r="U415" s="29">
        <f>550000+60000</f>
        <v>610000</v>
      </c>
      <c r="V415" s="29">
        <f>100000+50000+10000</f>
        <v>160000</v>
      </c>
      <c r="W415" s="29">
        <f t="shared" si="43"/>
        <v>0</v>
      </c>
      <c r="X415" s="29">
        <f>600000+33206.4+11848</f>
        <v>645054.4</v>
      </c>
      <c r="Y415" s="29">
        <f t="shared" si="44"/>
        <v>54945.59999999998</v>
      </c>
    </row>
    <row r="416" spans="1:25" ht="120" customHeight="1">
      <c r="A416" s="295"/>
      <c r="B416" s="295"/>
      <c r="C416" s="295"/>
      <c r="D416" s="284"/>
      <c r="E416" s="186" t="s">
        <v>858</v>
      </c>
      <c r="F416" s="198">
        <f t="shared" si="47"/>
        <v>236000</v>
      </c>
      <c r="G416" s="199">
        <v>1</v>
      </c>
      <c r="H416" s="198">
        <f t="shared" si="48"/>
        <v>236000</v>
      </c>
      <c r="I416" s="269">
        <v>3142</v>
      </c>
      <c r="J416" s="200">
        <v>236000</v>
      </c>
      <c r="K416" s="180"/>
      <c r="L416" s="180">
        <v>236000</v>
      </c>
      <c r="M416" s="180"/>
      <c r="N416" s="180"/>
      <c r="O416" s="180">
        <v>-236000</v>
      </c>
      <c r="P416" s="180"/>
      <c r="Q416" s="180"/>
      <c r="R416" s="180"/>
      <c r="S416" s="180">
        <v>170000</v>
      </c>
      <c r="T416" s="180">
        <f>31000</f>
        <v>31000</v>
      </c>
      <c r="U416" s="180">
        <f>205000-170000</f>
        <v>35000</v>
      </c>
      <c r="V416" s="180"/>
      <c r="W416" s="29">
        <f t="shared" si="43"/>
        <v>0</v>
      </c>
      <c r="X416" s="29">
        <f>120567</f>
        <v>120567</v>
      </c>
      <c r="Y416" s="29">
        <f t="shared" si="44"/>
        <v>80433</v>
      </c>
    </row>
    <row r="417" spans="1:25" ht="56.25">
      <c r="A417" s="295"/>
      <c r="B417" s="295"/>
      <c r="C417" s="295"/>
      <c r="D417" s="284"/>
      <c r="E417" s="36" t="s">
        <v>297</v>
      </c>
      <c r="F417" s="105">
        <f t="shared" si="47"/>
        <v>1137548</v>
      </c>
      <c r="G417" s="114">
        <v>1</v>
      </c>
      <c r="H417" s="105">
        <f t="shared" si="48"/>
        <v>1137548</v>
      </c>
      <c r="I417" s="222">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3"/>
        <v>0</v>
      </c>
      <c r="X417" s="29">
        <f>334388.74+755385.26+16755</f>
        <v>1106529</v>
      </c>
      <c r="Y417" s="29">
        <f t="shared" si="44"/>
        <v>31019</v>
      </c>
    </row>
    <row r="418" spans="1:25" ht="37.5">
      <c r="A418" s="295"/>
      <c r="B418" s="295"/>
      <c r="C418" s="295"/>
      <c r="D418" s="284"/>
      <c r="E418" s="36" t="s">
        <v>298</v>
      </c>
      <c r="F418" s="105">
        <f t="shared" si="47"/>
        <v>1313000</v>
      </c>
      <c r="G418" s="114">
        <v>1</v>
      </c>
      <c r="H418" s="105">
        <f t="shared" si="48"/>
        <v>1313000</v>
      </c>
      <c r="I418" s="222">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3"/>
        <v>0</v>
      </c>
      <c r="X418" s="29">
        <f>670290.6</f>
        <v>670290.6</v>
      </c>
      <c r="Y418" s="29">
        <f t="shared" si="44"/>
        <v>266709.4</v>
      </c>
    </row>
    <row r="419" spans="1:25" ht="75">
      <c r="A419" s="295"/>
      <c r="B419" s="295"/>
      <c r="C419" s="295"/>
      <c r="D419" s="284"/>
      <c r="E419" s="36" t="s">
        <v>1022</v>
      </c>
      <c r="F419" s="105">
        <f t="shared" si="47"/>
        <v>1470000</v>
      </c>
      <c r="G419" s="114">
        <v>1</v>
      </c>
      <c r="H419" s="105">
        <f t="shared" si="48"/>
        <v>1470000</v>
      </c>
      <c r="I419" s="231">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3"/>
        <v>0</v>
      </c>
      <c r="X419" s="29">
        <f>49793.68+695485.5+15723.61+110997.21+299941+73428.26</f>
        <v>1245369.26</v>
      </c>
      <c r="Y419" s="29">
        <f t="shared" si="44"/>
        <v>224630.74</v>
      </c>
    </row>
    <row r="420" spans="1:25" ht="56.25">
      <c r="A420" s="295"/>
      <c r="B420" s="295"/>
      <c r="C420" s="295"/>
      <c r="D420" s="284"/>
      <c r="E420" s="36" t="s">
        <v>57</v>
      </c>
      <c r="F420" s="105">
        <f t="shared" si="47"/>
        <v>1894000</v>
      </c>
      <c r="G420" s="114">
        <v>1</v>
      </c>
      <c r="H420" s="105">
        <f t="shared" si="48"/>
        <v>1894000</v>
      </c>
      <c r="I420" s="222">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3"/>
        <v>1.4551915228366852E-11</v>
      </c>
      <c r="X420" s="29">
        <f>492417.53+7770.4+1105980.67+41071+20380.1+20380.1</f>
        <v>1687999.8000000003</v>
      </c>
      <c r="Y420" s="29">
        <f t="shared" si="44"/>
        <v>205643.9399999997</v>
      </c>
    </row>
    <row r="421" spans="1:25" ht="75">
      <c r="A421" s="295"/>
      <c r="B421" s="295"/>
      <c r="C421" s="295"/>
      <c r="D421" s="284"/>
      <c r="E421" s="36" t="s">
        <v>786</v>
      </c>
      <c r="F421" s="105"/>
      <c r="G421" s="114"/>
      <c r="H421" s="105"/>
      <c r="I421" s="222">
        <v>3142</v>
      </c>
      <c r="J421" s="40">
        <v>30000</v>
      </c>
      <c r="K421" s="29"/>
      <c r="L421" s="29"/>
      <c r="M421" s="29"/>
      <c r="N421" s="29"/>
      <c r="O421" s="29"/>
      <c r="P421" s="29"/>
      <c r="Q421" s="29"/>
      <c r="R421" s="29"/>
      <c r="S421" s="29"/>
      <c r="T421" s="29">
        <v>30000</v>
      </c>
      <c r="U421" s="29"/>
      <c r="V421" s="29"/>
      <c r="W421" s="29">
        <f t="shared" si="43"/>
        <v>0</v>
      </c>
      <c r="X421" s="29"/>
      <c r="Y421" s="29">
        <f t="shared" si="44"/>
        <v>30000</v>
      </c>
    </row>
    <row r="422" spans="1:25" ht="37.5">
      <c r="A422" s="295"/>
      <c r="B422" s="295"/>
      <c r="C422" s="295"/>
      <c r="D422" s="284"/>
      <c r="E422" s="36" t="s">
        <v>251</v>
      </c>
      <c r="F422" s="105">
        <f t="shared" si="47"/>
        <v>825000</v>
      </c>
      <c r="G422" s="114">
        <v>1</v>
      </c>
      <c r="H422" s="105">
        <f t="shared" si="48"/>
        <v>825000</v>
      </c>
      <c r="I422" s="222">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3"/>
        <v>0</v>
      </c>
      <c r="X422" s="29">
        <f>418850.8+393250.8+6463</f>
        <v>818564.6</v>
      </c>
      <c r="Y422" s="29">
        <f t="shared" si="44"/>
        <v>6435.400000000023</v>
      </c>
    </row>
    <row r="423" spans="1:25" ht="18" customHeight="1">
      <c r="A423" s="294" t="s">
        <v>746</v>
      </c>
      <c r="B423" s="294" t="s">
        <v>747</v>
      </c>
      <c r="C423" s="294" t="s">
        <v>721</v>
      </c>
      <c r="D423" s="283" t="s">
        <v>745</v>
      </c>
      <c r="E423" s="36"/>
      <c r="F423" s="36"/>
      <c r="G423" s="36"/>
      <c r="H423" s="36"/>
      <c r="I423" s="231"/>
      <c r="J423" s="16">
        <f>SUM(J424:J432)</f>
        <v>5444214</v>
      </c>
      <c r="K423" s="16">
        <f aca="true" t="shared" si="49" ref="K423:X423">SUM(K424:K432)</f>
        <v>0</v>
      </c>
      <c r="L423" s="16">
        <f t="shared" si="49"/>
        <v>0</v>
      </c>
      <c r="M423" s="16">
        <f t="shared" si="49"/>
        <v>600000</v>
      </c>
      <c r="N423" s="16">
        <f t="shared" si="49"/>
        <v>341600</v>
      </c>
      <c r="O423" s="16">
        <f t="shared" si="49"/>
        <v>1005000</v>
      </c>
      <c r="P423" s="16">
        <f t="shared" si="49"/>
        <v>656414</v>
      </c>
      <c r="Q423" s="16">
        <f t="shared" si="49"/>
        <v>-81000</v>
      </c>
      <c r="R423" s="16">
        <f t="shared" si="49"/>
        <v>8000</v>
      </c>
      <c r="S423" s="16">
        <f t="shared" si="49"/>
        <v>450000</v>
      </c>
      <c r="T423" s="16">
        <f t="shared" si="49"/>
        <v>362000</v>
      </c>
      <c r="U423" s="16">
        <f t="shared" si="49"/>
        <v>1822200</v>
      </c>
      <c r="V423" s="16">
        <f t="shared" si="49"/>
        <v>280000</v>
      </c>
      <c r="W423" s="16">
        <f t="shared" si="49"/>
        <v>0</v>
      </c>
      <c r="X423" s="16">
        <f t="shared" si="49"/>
        <v>2520016.98</v>
      </c>
      <c r="Y423" s="29">
        <f t="shared" si="44"/>
        <v>821997.02</v>
      </c>
    </row>
    <row r="424" spans="1:25" ht="56.25">
      <c r="A424" s="295"/>
      <c r="B424" s="295"/>
      <c r="C424" s="295"/>
      <c r="D424" s="284"/>
      <c r="E424" s="36" t="s">
        <v>362</v>
      </c>
      <c r="F424" s="105">
        <f aca="true" t="shared" si="50" ref="F424:F432">J424</f>
        <v>1450000</v>
      </c>
      <c r="G424" s="114">
        <v>1</v>
      </c>
      <c r="H424" s="105">
        <f t="shared" si="48"/>
        <v>1450000</v>
      </c>
      <c r="I424" s="222">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3"/>
        <v>0</v>
      </c>
      <c r="X424" s="29">
        <f>20859.6+43960+676357</f>
        <v>741176.6</v>
      </c>
      <c r="Y424" s="29">
        <f t="shared" si="44"/>
        <v>78823.40000000002</v>
      </c>
    </row>
    <row r="425" spans="1:25" ht="37.5">
      <c r="A425" s="295"/>
      <c r="B425" s="295"/>
      <c r="C425" s="295"/>
      <c r="D425" s="284"/>
      <c r="E425" s="36" t="s">
        <v>1175</v>
      </c>
      <c r="F425" s="105">
        <f t="shared" si="50"/>
        <v>970000</v>
      </c>
      <c r="G425" s="114">
        <v>1</v>
      </c>
      <c r="H425" s="105">
        <f t="shared" si="48"/>
        <v>970000</v>
      </c>
      <c r="I425" s="222">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3"/>
        <v>0</v>
      </c>
      <c r="X425" s="29">
        <f>285500.7+3240.92</f>
        <v>288741.62</v>
      </c>
      <c r="Y425" s="29">
        <f t="shared" si="44"/>
        <v>16258.380000000005</v>
      </c>
    </row>
    <row r="426" spans="1:25" ht="75">
      <c r="A426" s="295"/>
      <c r="B426" s="295"/>
      <c r="C426" s="295"/>
      <c r="D426" s="284"/>
      <c r="E426" s="36" t="s">
        <v>245</v>
      </c>
      <c r="F426" s="105">
        <f t="shared" si="50"/>
        <v>23414</v>
      </c>
      <c r="G426" s="114"/>
      <c r="H426" s="105">
        <f t="shared" si="48"/>
        <v>23414</v>
      </c>
      <c r="I426" s="222">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9">
        <f t="shared" si="44"/>
        <v>23414</v>
      </c>
    </row>
    <row r="427" spans="1:25" ht="37.5">
      <c r="A427" s="295"/>
      <c r="B427" s="295"/>
      <c r="C427" s="295"/>
      <c r="D427" s="284"/>
      <c r="E427" s="36" t="s">
        <v>486</v>
      </c>
      <c r="F427" s="105">
        <f t="shared" si="50"/>
        <v>1470000</v>
      </c>
      <c r="G427" s="114"/>
      <c r="H427" s="105">
        <f t="shared" si="48"/>
        <v>1470000</v>
      </c>
      <c r="I427" s="222">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f>
        <v>418887.6</v>
      </c>
      <c r="Y427" s="29">
        <f aca="true" t="shared" si="51" ref="Y427:Y495">K427+L427+M427+N427+O427+P427+Q427+R427+S427+T427-X427</f>
        <v>342112.4</v>
      </c>
    </row>
    <row r="428" spans="1:25" ht="102" customHeight="1">
      <c r="A428" s="295"/>
      <c r="B428" s="295"/>
      <c r="C428" s="295"/>
      <c r="D428" s="284"/>
      <c r="E428" s="36" t="s">
        <v>1238</v>
      </c>
      <c r="F428" s="105">
        <f t="shared" si="50"/>
        <v>830600</v>
      </c>
      <c r="G428" s="114">
        <v>1</v>
      </c>
      <c r="H428" s="105">
        <f t="shared" si="48"/>
        <v>830600</v>
      </c>
      <c r="I428" s="231">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9">
        <f t="shared" si="51"/>
        <v>36006.94000000006</v>
      </c>
    </row>
    <row r="429" spans="1:25" ht="93.75">
      <c r="A429" s="295"/>
      <c r="B429" s="295"/>
      <c r="C429" s="295"/>
      <c r="D429" s="284"/>
      <c r="E429" s="36" t="s">
        <v>409</v>
      </c>
      <c r="F429" s="105">
        <f t="shared" si="50"/>
        <v>111000</v>
      </c>
      <c r="G429" s="114"/>
      <c r="H429" s="105">
        <f t="shared" si="48"/>
        <v>111000</v>
      </c>
      <c r="I429" s="231">
        <v>3142</v>
      </c>
      <c r="J429" s="58">
        <v>111000</v>
      </c>
      <c r="K429" s="29"/>
      <c r="L429" s="29"/>
      <c r="M429" s="29"/>
      <c r="N429" s="29">
        <v>111000</v>
      </c>
      <c r="O429" s="29"/>
      <c r="P429" s="29"/>
      <c r="Q429" s="29"/>
      <c r="R429" s="29"/>
      <c r="S429" s="29"/>
      <c r="T429" s="29"/>
      <c r="U429" s="29"/>
      <c r="V429" s="29"/>
      <c r="W429" s="29"/>
      <c r="X429" s="29">
        <f>30000+70000</f>
        <v>100000</v>
      </c>
      <c r="Y429" s="29">
        <f t="shared" si="51"/>
        <v>11000</v>
      </c>
    </row>
    <row r="430" spans="1:25" ht="24.75" customHeight="1">
      <c r="A430" s="295"/>
      <c r="B430" s="295"/>
      <c r="C430" s="295"/>
      <c r="D430" s="284"/>
      <c r="E430" s="36" t="s">
        <v>307</v>
      </c>
      <c r="F430" s="105">
        <f t="shared" si="50"/>
        <v>589200</v>
      </c>
      <c r="G430" s="114">
        <v>1</v>
      </c>
      <c r="H430" s="105">
        <f t="shared" si="48"/>
        <v>589200</v>
      </c>
      <c r="I430" s="222">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9">
        <f t="shared" si="51"/>
        <v>314381.9</v>
      </c>
    </row>
    <row r="431" spans="1:25" ht="63" customHeight="1" hidden="1">
      <c r="A431" s="295"/>
      <c r="B431" s="295"/>
      <c r="C431" s="295"/>
      <c r="D431" s="284"/>
      <c r="E431" s="52" t="s">
        <v>1075</v>
      </c>
      <c r="F431" s="160">
        <f t="shared" si="50"/>
        <v>0</v>
      </c>
      <c r="G431" s="114">
        <v>1</v>
      </c>
      <c r="H431" s="160">
        <f>J431</f>
        <v>0</v>
      </c>
      <c r="I431" s="231"/>
      <c r="J431" s="54">
        <f>800000-800000</f>
        <v>0</v>
      </c>
      <c r="K431" s="29"/>
      <c r="L431" s="29"/>
      <c r="M431" s="29"/>
      <c r="N431" s="29"/>
      <c r="O431" s="29">
        <f>600000-600000</f>
        <v>0</v>
      </c>
      <c r="P431" s="29"/>
      <c r="Q431" s="29">
        <f>200000-200000</f>
        <v>0</v>
      </c>
      <c r="R431" s="29"/>
      <c r="S431" s="29"/>
      <c r="T431" s="29"/>
      <c r="U431" s="29"/>
      <c r="V431" s="29"/>
      <c r="W431" s="29">
        <f t="shared" si="52"/>
        <v>0</v>
      </c>
      <c r="X431" s="29"/>
      <c r="Y431" s="29">
        <f t="shared" si="51"/>
        <v>0</v>
      </c>
    </row>
    <row r="432" spans="1:25" ht="54" hidden="1">
      <c r="A432" s="295"/>
      <c r="B432" s="296"/>
      <c r="C432" s="295"/>
      <c r="D432" s="284"/>
      <c r="E432" s="36" t="s">
        <v>308</v>
      </c>
      <c r="F432" s="105">
        <f t="shared" si="50"/>
        <v>0</v>
      </c>
      <c r="G432" s="114">
        <v>1</v>
      </c>
      <c r="H432" s="105">
        <f t="shared" si="48"/>
        <v>0</v>
      </c>
      <c r="I432" s="224"/>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9">
        <f t="shared" si="51"/>
        <v>0</v>
      </c>
    </row>
    <row r="433" spans="1:25" ht="18.75">
      <c r="A433" s="317">
        <v>1017470</v>
      </c>
      <c r="B433" s="291" t="s">
        <v>176</v>
      </c>
      <c r="C433" s="310" t="s">
        <v>222</v>
      </c>
      <c r="D433" s="283" t="s">
        <v>175</v>
      </c>
      <c r="E433" s="36"/>
      <c r="F433" s="36"/>
      <c r="G433" s="36"/>
      <c r="H433" s="36"/>
      <c r="I433" s="223"/>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9">
        <f>K433+L433+M433+N433+O433+P433+Q433+R433+S433+T433-X433</f>
        <v>979215.4</v>
      </c>
    </row>
    <row r="434" spans="1:25" ht="56.25">
      <c r="A434" s="318"/>
      <c r="B434" s="293"/>
      <c r="C434" s="312"/>
      <c r="D434" s="284"/>
      <c r="E434" s="59" t="s">
        <v>551</v>
      </c>
      <c r="F434" s="36"/>
      <c r="G434" s="36"/>
      <c r="H434" s="36"/>
      <c r="I434" s="223"/>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9">
        <f t="shared" si="51"/>
        <v>399045.4</v>
      </c>
    </row>
    <row r="435" spans="1:25" ht="56.25">
      <c r="A435" s="318"/>
      <c r="B435" s="293"/>
      <c r="C435" s="312"/>
      <c r="D435" s="284"/>
      <c r="E435" s="61" t="s">
        <v>1049</v>
      </c>
      <c r="F435" s="36"/>
      <c r="G435" s="36"/>
      <c r="H435" s="36"/>
      <c r="I435" s="223">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9">
        <f t="shared" si="51"/>
        <v>399045.4</v>
      </c>
    </row>
    <row r="436" spans="1:25" ht="37.5">
      <c r="A436" s="318"/>
      <c r="B436" s="293"/>
      <c r="C436" s="312"/>
      <c r="D436" s="284"/>
      <c r="E436" s="59" t="s">
        <v>703</v>
      </c>
      <c r="F436" s="59"/>
      <c r="G436" s="59"/>
      <c r="H436" s="59"/>
      <c r="I436" s="254"/>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9">
        <f t="shared" si="51"/>
        <v>580170</v>
      </c>
    </row>
    <row r="437" spans="1:25" ht="37.5">
      <c r="A437" s="318"/>
      <c r="B437" s="293"/>
      <c r="C437" s="312"/>
      <c r="D437" s="284"/>
      <c r="E437" s="61" t="s">
        <v>397</v>
      </c>
      <c r="F437" s="61"/>
      <c r="G437" s="61"/>
      <c r="H437" s="61"/>
      <c r="I437" s="233"/>
      <c r="J437" s="54">
        <v>143000</v>
      </c>
      <c r="K437" s="54"/>
      <c r="L437" s="54"/>
      <c r="M437" s="54"/>
      <c r="N437" s="54"/>
      <c r="O437" s="54"/>
      <c r="P437" s="54"/>
      <c r="Q437" s="54">
        <v>84370</v>
      </c>
      <c r="R437" s="54"/>
      <c r="S437" s="54"/>
      <c r="T437" s="54"/>
      <c r="U437" s="54">
        <v>58630</v>
      </c>
      <c r="V437" s="54"/>
      <c r="W437" s="29">
        <f t="shared" si="52"/>
        <v>0</v>
      </c>
      <c r="X437" s="54">
        <f>76000</f>
        <v>76000</v>
      </c>
      <c r="Y437" s="29">
        <f t="shared" si="51"/>
        <v>8370</v>
      </c>
    </row>
    <row r="438" spans="1:25" ht="56.25">
      <c r="A438" s="319"/>
      <c r="B438" s="292"/>
      <c r="C438" s="311"/>
      <c r="D438" s="301"/>
      <c r="E438" s="61" t="s">
        <v>888</v>
      </c>
      <c r="F438" s="61"/>
      <c r="G438" s="61"/>
      <c r="H438" s="61"/>
      <c r="I438" s="233">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9">
        <f>K438+L438+M438+N438+O438+P438+Q438+R438+S438+T438-X438</f>
        <v>571800</v>
      </c>
    </row>
    <row r="439" spans="1:25" s="12" customFormat="1" ht="18.75">
      <c r="A439" s="317">
        <v>1018800</v>
      </c>
      <c r="B439" s="51"/>
      <c r="C439" s="144"/>
      <c r="D439" s="328" t="s">
        <v>223</v>
      </c>
      <c r="E439" s="59"/>
      <c r="F439" s="59"/>
      <c r="G439" s="59"/>
      <c r="H439" s="59"/>
      <c r="I439" s="254"/>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0</v>
      </c>
      <c r="Y439" s="29">
        <f t="shared" si="51"/>
        <v>600000</v>
      </c>
    </row>
    <row r="440" spans="1:25" ht="131.25">
      <c r="A440" s="318"/>
      <c r="B440" s="51"/>
      <c r="C440" s="144"/>
      <c r="D440" s="329"/>
      <c r="E440" s="43" t="s">
        <v>792</v>
      </c>
      <c r="F440" s="61"/>
      <c r="G440" s="61"/>
      <c r="H440" s="61"/>
      <c r="I440" s="233">
        <v>3220</v>
      </c>
      <c r="J440" s="54">
        <v>300000</v>
      </c>
      <c r="K440" s="29"/>
      <c r="L440" s="29"/>
      <c r="M440" s="29"/>
      <c r="N440" s="29"/>
      <c r="O440" s="29"/>
      <c r="P440" s="29"/>
      <c r="Q440" s="29"/>
      <c r="R440" s="29"/>
      <c r="S440" s="29"/>
      <c r="T440" s="29">
        <v>300000</v>
      </c>
      <c r="U440" s="29"/>
      <c r="V440" s="29"/>
      <c r="W440" s="29">
        <f t="shared" si="52"/>
        <v>0</v>
      </c>
      <c r="X440" s="29"/>
      <c r="Y440" s="29">
        <f t="shared" si="51"/>
        <v>300000</v>
      </c>
    </row>
    <row r="441" spans="1:25" ht="131.25">
      <c r="A441" s="319"/>
      <c r="B441" s="51"/>
      <c r="C441" s="144"/>
      <c r="D441" s="330"/>
      <c r="E441" s="43" t="s">
        <v>793</v>
      </c>
      <c r="F441" s="61"/>
      <c r="G441" s="61"/>
      <c r="H441" s="61"/>
      <c r="I441" s="233">
        <v>3220</v>
      </c>
      <c r="J441" s="54">
        <v>300000</v>
      </c>
      <c r="K441" s="29"/>
      <c r="L441" s="29"/>
      <c r="M441" s="29"/>
      <c r="N441" s="29"/>
      <c r="O441" s="29"/>
      <c r="P441" s="29"/>
      <c r="Q441" s="29"/>
      <c r="R441" s="29"/>
      <c r="S441" s="29"/>
      <c r="T441" s="29">
        <v>300000</v>
      </c>
      <c r="U441" s="29"/>
      <c r="V441" s="29"/>
      <c r="W441" s="29">
        <f t="shared" si="52"/>
        <v>0</v>
      </c>
      <c r="X441" s="29"/>
      <c r="Y441" s="29">
        <f t="shared" si="51"/>
        <v>300000</v>
      </c>
    </row>
    <row r="442" spans="1:25" ht="18.75">
      <c r="A442" s="280"/>
      <c r="B442" s="51"/>
      <c r="C442" s="144"/>
      <c r="D442" s="279"/>
      <c r="E442" s="61"/>
      <c r="F442" s="61"/>
      <c r="G442" s="61"/>
      <c r="H442" s="61"/>
      <c r="I442" s="233"/>
      <c r="J442" s="54"/>
      <c r="K442" s="29"/>
      <c r="L442" s="29"/>
      <c r="M442" s="29"/>
      <c r="N442" s="29"/>
      <c r="O442" s="29"/>
      <c r="P442" s="29"/>
      <c r="Q442" s="29"/>
      <c r="R442" s="29"/>
      <c r="S442" s="29"/>
      <c r="T442" s="29"/>
      <c r="U442" s="29"/>
      <c r="V442" s="29"/>
      <c r="W442" s="29"/>
      <c r="X442" s="29"/>
      <c r="Y442" s="29"/>
    </row>
    <row r="443" spans="1:25" ht="18.75">
      <c r="A443" s="280"/>
      <c r="B443" s="51"/>
      <c r="C443" s="144"/>
      <c r="D443" s="279"/>
      <c r="E443" s="61"/>
      <c r="F443" s="61"/>
      <c r="G443" s="61"/>
      <c r="H443" s="61"/>
      <c r="I443" s="233"/>
      <c r="J443" s="54"/>
      <c r="K443" s="29"/>
      <c r="L443" s="29"/>
      <c r="M443" s="29"/>
      <c r="N443" s="29"/>
      <c r="O443" s="29"/>
      <c r="P443" s="29"/>
      <c r="Q443" s="29"/>
      <c r="R443" s="29"/>
      <c r="S443" s="29"/>
      <c r="T443" s="29"/>
      <c r="U443" s="29"/>
      <c r="V443" s="29"/>
      <c r="W443" s="29"/>
      <c r="X443" s="29"/>
      <c r="Y443" s="29"/>
    </row>
    <row r="444" spans="1:25" ht="39" customHeight="1">
      <c r="A444" s="18" t="s">
        <v>242</v>
      </c>
      <c r="B444" s="127"/>
      <c r="C444" s="37"/>
      <c r="D444" s="128" t="s">
        <v>866</v>
      </c>
      <c r="E444" s="129"/>
      <c r="F444" s="130"/>
      <c r="G444" s="131"/>
      <c r="H444" s="130"/>
      <c r="I444" s="232"/>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39720285.27</v>
      </c>
      <c r="Y444" s="29">
        <f t="shared" si="51"/>
        <v>3058925.1799999997</v>
      </c>
    </row>
    <row r="445" spans="1:25" ht="44.25" customHeight="1">
      <c r="A445" s="18" t="s">
        <v>867</v>
      </c>
      <c r="B445" s="127"/>
      <c r="C445" s="132"/>
      <c r="D445" s="128" t="s">
        <v>866</v>
      </c>
      <c r="E445" s="129"/>
      <c r="F445" s="130"/>
      <c r="G445" s="131"/>
      <c r="H445" s="130"/>
      <c r="I445" s="232"/>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39720285.27</v>
      </c>
      <c r="Y445" s="29">
        <f t="shared" si="51"/>
        <v>3058925.1799999997</v>
      </c>
    </row>
    <row r="446" spans="1:25" ht="18.75">
      <c r="A446" s="291" t="s">
        <v>940</v>
      </c>
      <c r="B446" s="291" t="s">
        <v>80</v>
      </c>
      <c r="C446" s="291" t="s">
        <v>79</v>
      </c>
      <c r="D446" s="283" t="s">
        <v>72</v>
      </c>
      <c r="E446" s="65"/>
      <c r="F446" s="65"/>
      <c r="G446" s="65"/>
      <c r="H446" s="65"/>
      <c r="I446" s="255"/>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9">
        <f t="shared" si="51"/>
        <v>0</v>
      </c>
    </row>
    <row r="447" spans="1:25" ht="83.25" customHeight="1">
      <c r="A447" s="292"/>
      <c r="B447" s="292"/>
      <c r="C447" s="292"/>
      <c r="D447" s="301"/>
      <c r="E447" s="65" t="s">
        <v>704</v>
      </c>
      <c r="F447" s="65"/>
      <c r="G447" s="65"/>
      <c r="H447" s="65"/>
      <c r="I447" s="255">
        <v>3110</v>
      </c>
      <c r="J447" s="29">
        <f>39000-501</f>
        <v>38499</v>
      </c>
      <c r="K447" s="29"/>
      <c r="L447" s="29"/>
      <c r="M447" s="29"/>
      <c r="N447" s="29">
        <v>39000</v>
      </c>
      <c r="O447" s="29"/>
      <c r="P447" s="29"/>
      <c r="Q447" s="29"/>
      <c r="R447" s="29"/>
      <c r="S447" s="29"/>
      <c r="T447" s="29">
        <v>-501</v>
      </c>
      <c r="U447" s="29"/>
      <c r="V447" s="29"/>
      <c r="W447" s="29">
        <f t="shared" si="52"/>
        <v>0</v>
      </c>
      <c r="X447" s="29">
        <v>38499</v>
      </c>
      <c r="Y447" s="29">
        <f t="shared" si="51"/>
        <v>0</v>
      </c>
    </row>
    <row r="448" spans="1:25" ht="18.75">
      <c r="A448" s="294" t="s">
        <v>1166</v>
      </c>
      <c r="B448" s="294" t="s">
        <v>1167</v>
      </c>
      <c r="C448" s="294" t="s">
        <v>655</v>
      </c>
      <c r="D448" s="283" t="s">
        <v>1168</v>
      </c>
      <c r="E448" s="65"/>
      <c r="F448" s="65"/>
      <c r="G448" s="65"/>
      <c r="H448" s="65"/>
      <c r="I448" s="255"/>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5776156.29</v>
      </c>
      <c r="U448" s="31">
        <f t="shared" si="60"/>
        <v>4077670</v>
      </c>
      <c r="V448" s="31">
        <f t="shared" si="60"/>
        <v>2019905</v>
      </c>
      <c r="W448" s="31">
        <f t="shared" si="60"/>
        <v>-6.366462912410498E-12</v>
      </c>
      <c r="X448" s="31">
        <f t="shared" si="60"/>
        <v>26395934.96</v>
      </c>
      <c r="Y448" s="29">
        <f t="shared" si="51"/>
        <v>1819932.3299999982</v>
      </c>
    </row>
    <row r="449" spans="1:25" ht="93.75">
      <c r="A449" s="295"/>
      <c r="B449" s="295"/>
      <c r="C449" s="295"/>
      <c r="D449" s="284"/>
      <c r="E449" s="65" t="s">
        <v>107</v>
      </c>
      <c r="F449" s="65"/>
      <c r="G449" s="65"/>
      <c r="H449" s="65"/>
      <c r="I449" s="255">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f>
        <v>0</v>
      </c>
      <c r="V449" s="29">
        <f>700000-301177-109777-60960-13000-172600</f>
        <v>42486</v>
      </c>
      <c r="W449" s="29">
        <f t="shared" si="52"/>
        <v>0</v>
      </c>
      <c r="X449" s="29">
        <f>162395+17334+470000+244900+127900+60960+12869.1+172710</f>
        <v>1269068.1</v>
      </c>
      <c r="Y449" s="29">
        <f t="shared" si="51"/>
        <v>20.899999999906868</v>
      </c>
    </row>
    <row r="450" spans="1:25" ht="150">
      <c r="A450" s="295"/>
      <c r="B450" s="295"/>
      <c r="C450" s="295"/>
      <c r="D450" s="284"/>
      <c r="E450" s="65" t="s">
        <v>643</v>
      </c>
      <c r="F450" s="65"/>
      <c r="G450" s="65"/>
      <c r="H450" s="65"/>
      <c r="I450" s="255">
        <v>3210</v>
      </c>
      <c r="J450" s="29">
        <v>486450</v>
      </c>
      <c r="K450" s="29"/>
      <c r="L450" s="29"/>
      <c r="M450" s="29"/>
      <c r="N450" s="29"/>
      <c r="O450" s="29"/>
      <c r="P450" s="181"/>
      <c r="Q450" s="29"/>
      <c r="R450" s="29"/>
      <c r="S450" s="29"/>
      <c r="T450" s="29">
        <f>486450-172600-313800</f>
        <v>50</v>
      </c>
      <c r="U450" s="29"/>
      <c r="V450" s="29">
        <f>172600+313800</f>
        <v>486400</v>
      </c>
      <c r="W450" s="29">
        <f t="shared" si="52"/>
        <v>0</v>
      </c>
      <c r="X450" s="29"/>
      <c r="Y450" s="29">
        <f t="shared" si="51"/>
        <v>50</v>
      </c>
    </row>
    <row r="451" spans="1:25" ht="131.25">
      <c r="A451" s="295"/>
      <c r="B451" s="295"/>
      <c r="C451" s="295"/>
      <c r="D451" s="284"/>
      <c r="E451" s="65" t="s">
        <v>408</v>
      </c>
      <c r="F451" s="65"/>
      <c r="G451" s="65"/>
      <c r="H451" s="65"/>
      <c r="I451" s="255">
        <v>3210</v>
      </c>
      <c r="J451" s="29">
        <v>46000</v>
      </c>
      <c r="K451" s="29"/>
      <c r="L451" s="29"/>
      <c r="M451" s="29"/>
      <c r="N451" s="29"/>
      <c r="O451" s="29">
        <v>46000</v>
      </c>
      <c r="P451" s="181"/>
      <c r="Q451" s="29"/>
      <c r="R451" s="29"/>
      <c r="S451" s="29"/>
      <c r="T451" s="29"/>
      <c r="U451" s="29"/>
      <c r="V451" s="29"/>
      <c r="W451" s="29"/>
      <c r="X451" s="29">
        <v>46000</v>
      </c>
      <c r="Y451" s="29">
        <f t="shared" si="51"/>
        <v>0</v>
      </c>
    </row>
    <row r="452" spans="1:25" ht="131.25">
      <c r="A452" s="295"/>
      <c r="B452" s="295"/>
      <c r="C452" s="295"/>
      <c r="D452" s="284"/>
      <c r="E452" s="65" t="s">
        <v>269</v>
      </c>
      <c r="F452" s="65"/>
      <c r="G452" s="65"/>
      <c r="H452" s="65"/>
      <c r="I452" s="255">
        <v>3210</v>
      </c>
      <c r="J452" s="29">
        <v>54000</v>
      </c>
      <c r="K452" s="29"/>
      <c r="L452" s="29"/>
      <c r="M452" s="29"/>
      <c r="N452" s="29"/>
      <c r="O452" s="29">
        <v>54000</v>
      </c>
      <c r="P452" s="181"/>
      <c r="Q452" s="29"/>
      <c r="R452" s="29"/>
      <c r="S452" s="29"/>
      <c r="T452" s="29"/>
      <c r="U452" s="29"/>
      <c r="V452" s="29"/>
      <c r="W452" s="29"/>
      <c r="X452" s="29">
        <v>53000</v>
      </c>
      <c r="Y452" s="29">
        <f t="shared" si="51"/>
        <v>1000</v>
      </c>
    </row>
    <row r="453" spans="1:25" ht="93.75">
      <c r="A453" s="295"/>
      <c r="B453" s="295"/>
      <c r="C453" s="295"/>
      <c r="D453" s="284"/>
      <c r="E453" s="65" t="s">
        <v>644</v>
      </c>
      <c r="F453" s="65"/>
      <c r="G453" s="65"/>
      <c r="H453" s="65"/>
      <c r="I453" s="255">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3458000+920700-422208+72000</f>
        <v>4028492</v>
      </c>
      <c r="U453" s="29">
        <v>121031</v>
      </c>
      <c r="V453" s="29">
        <f>7241139+14000-14000-3937043-3123583+301177-72000</f>
        <v>409690</v>
      </c>
      <c r="W453" s="29">
        <f t="shared" si="52"/>
        <v>0</v>
      </c>
      <c r="X453" s="29">
        <f>3027799.86+1582572.8+864949+296711+12947.7+445000+10754000+3458000+72000</f>
        <v>20513980.36</v>
      </c>
      <c r="Y453" s="29">
        <f t="shared" si="51"/>
        <v>498492.6400000006</v>
      </c>
    </row>
    <row r="454" spans="1:25" ht="75">
      <c r="A454" s="295"/>
      <c r="B454" s="295"/>
      <c r="C454" s="295"/>
      <c r="D454" s="284"/>
      <c r="E454" s="65" t="s">
        <v>370</v>
      </c>
      <c r="F454" s="65"/>
      <c r="G454" s="65"/>
      <c r="H454" s="65"/>
      <c r="I454" s="255">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9">
        <f t="shared" si="51"/>
        <v>0</v>
      </c>
    </row>
    <row r="455" spans="1:25" ht="56.25">
      <c r="A455" s="295"/>
      <c r="B455" s="295"/>
      <c r="C455" s="295"/>
      <c r="D455" s="284"/>
      <c r="E455" s="65" t="s">
        <v>501</v>
      </c>
      <c r="F455" s="105">
        <f>J455</f>
        <v>578767.2</v>
      </c>
      <c r="G455" s="114">
        <v>1</v>
      </c>
      <c r="H455" s="105">
        <f aca="true" t="shared" si="61" ref="H455:H462">J455</f>
        <v>578767.2</v>
      </c>
      <c r="I455" s="255">
        <v>3210</v>
      </c>
      <c r="J455" s="29">
        <f>34592+544175.2</f>
        <v>578767.2</v>
      </c>
      <c r="K455" s="29"/>
      <c r="L455" s="29"/>
      <c r="M455" s="29"/>
      <c r="N455" s="181"/>
      <c r="O455" s="29"/>
      <c r="P455" s="29"/>
      <c r="Q455" s="29"/>
      <c r="R455" s="29">
        <v>44175.2</v>
      </c>
      <c r="S455" s="29">
        <f>-28286+4897</f>
        <v>-23389</v>
      </c>
      <c r="T455" s="29">
        <f>28286-4897+11427</f>
        <v>34816</v>
      </c>
      <c r="U455" s="29">
        <f>34592-11427</f>
        <v>23165</v>
      </c>
      <c r="V455" s="29">
        <v>500000</v>
      </c>
      <c r="W455" s="29">
        <f t="shared" si="52"/>
        <v>0</v>
      </c>
      <c r="X455" s="29">
        <f>15888.84+4896.93+20460.32+11426.19</f>
        <v>52672.28</v>
      </c>
      <c r="Y455" s="29">
        <f t="shared" si="51"/>
        <v>2929.9199999999983</v>
      </c>
    </row>
    <row r="456" spans="1:25" ht="93.75">
      <c r="A456" s="295"/>
      <c r="B456" s="295"/>
      <c r="C456" s="295"/>
      <c r="D456" s="284"/>
      <c r="E456" s="65" t="s">
        <v>1037</v>
      </c>
      <c r="F456" s="105">
        <f aca="true" t="shared" si="62" ref="F456:F462">J456</f>
        <v>109315.8</v>
      </c>
      <c r="G456" s="114">
        <v>1</v>
      </c>
      <c r="H456" s="105">
        <f t="shared" si="61"/>
        <v>109315.8</v>
      </c>
      <c r="I456" s="255">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9">
        <f t="shared" si="51"/>
        <v>0</v>
      </c>
    </row>
    <row r="457" spans="1:25" ht="161.25" customHeight="1">
      <c r="A457" s="295"/>
      <c r="B457" s="295"/>
      <c r="C457" s="295"/>
      <c r="D457" s="284"/>
      <c r="E457" s="187" t="s">
        <v>91</v>
      </c>
      <c r="F457" s="198">
        <f t="shared" si="62"/>
        <v>103470.29</v>
      </c>
      <c r="G457" s="199">
        <v>1</v>
      </c>
      <c r="H457" s="198">
        <f t="shared" si="61"/>
        <v>103470.29</v>
      </c>
      <c r="I457" s="258">
        <v>3210</v>
      </c>
      <c r="J457" s="180">
        <f>108117-4646.71</f>
        <v>103470.29</v>
      </c>
      <c r="K457" s="205"/>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9">
        <f t="shared" si="51"/>
        <v>0</v>
      </c>
    </row>
    <row r="458" spans="1:25" ht="75">
      <c r="A458" s="295"/>
      <c r="B458" s="295"/>
      <c r="C458" s="295"/>
      <c r="D458" s="284"/>
      <c r="E458" s="65" t="s">
        <v>438</v>
      </c>
      <c r="F458" s="105">
        <f t="shared" si="62"/>
        <v>6950566</v>
      </c>
      <c r="G458" s="114">
        <v>1</v>
      </c>
      <c r="H458" s="105">
        <f t="shared" si="61"/>
        <v>6950566</v>
      </c>
      <c r="I458" s="255">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f>
        <v>3682047</v>
      </c>
      <c r="V458" s="29">
        <f>14000+50000+240000</f>
        <v>304000</v>
      </c>
      <c r="W458" s="29">
        <f t="shared" si="52"/>
        <v>0</v>
      </c>
      <c r="X458" s="29">
        <f>144500+119214+209152.77+312368.53+123200+600530.03+79877.82+27160+30009.6+455891.31+518539.8</f>
        <v>2620443.86</v>
      </c>
      <c r="Y458" s="29">
        <f t="shared" si="51"/>
        <v>344075.14000000013</v>
      </c>
    </row>
    <row r="459" spans="1:25" ht="93.75">
      <c r="A459" s="295"/>
      <c r="B459" s="295"/>
      <c r="C459" s="295"/>
      <c r="D459" s="284"/>
      <c r="E459" s="65" t="s">
        <v>1025</v>
      </c>
      <c r="F459" s="105">
        <f t="shared" si="62"/>
        <v>980979</v>
      </c>
      <c r="G459" s="114">
        <v>1</v>
      </c>
      <c r="H459" s="105">
        <f t="shared" si="61"/>
        <v>980979</v>
      </c>
      <c r="I459" s="255">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37615.5+46075.5+58565+179871+18582+198036</f>
        <v>538745</v>
      </c>
      <c r="Y459" s="29">
        <f t="shared" si="51"/>
        <v>442234</v>
      </c>
    </row>
    <row r="460" spans="1:25" ht="93.75">
      <c r="A460" s="295"/>
      <c r="B460" s="295"/>
      <c r="C460" s="295"/>
      <c r="D460" s="284"/>
      <c r="E460" s="65" t="s">
        <v>1026</v>
      </c>
      <c r="F460" s="105">
        <f t="shared" si="62"/>
        <v>1333333</v>
      </c>
      <c r="G460" s="114">
        <v>1</v>
      </c>
      <c r="H460" s="105">
        <f t="shared" si="61"/>
        <v>1333333</v>
      </c>
      <c r="I460" s="255">
        <v>3210</v>
      </c>
      <c r="J460" s="29">
        <v>1333333</v>
      </c>
      <c r="K460" s="29"/>
      <c r="L460" s="29"/>
      <c r="M460" s="29"/>
      <c r="N460" s="29">
        <v>39250</v>
      </c>
      <c r="O460" s="29">
        <v>53300</v>
      </c>
      <c r="P460" s="29">
        <f>49400-13771</f>
        <v>35629</v>
      </c>
      <c r="Q460" s="29">
        <v>430600</v>
      </c>
      <c r="R460" s="29">
        <f>700000-450000</f>
        <v>250000</v>
      </c>
      <c r="S460" s="29">
        <f>100033-39250+13771</f>
        <v>74554</v>
      </c>
      <c r="T460" s="29">
        <f>450000-72000-11427</f>
        <v>366573</v>
      </c>
      <c r="U460" s="29">
        <v>11427</v>
      </c>
      <c r="V460" s="29">
        <f>72000</f>
        <v>72000</v>
      </c>
      <c r="W460" s="29">
        <f t="shared" si="52"/>
        <v>0</v>
      </c>
      <c r="X460" s="29">
        <f>38584+379343.7+271283+4390+67315</f>
        <v>760915.7</v>
      </c>
      <c r="Y460" s="29">
        <f t="shared" si="51"/>
        <v>488990.30000000005</v>
      </c>
    </row>
    <row r="461" spans="1:25" ht="93.75">
      <c r="A461" s="295"/>
      <c r="B461" s="295"/>
      <c r="C461" s="295"/>
      <c r="D461" s="284"/>
      <c r="E461" s="65" t="s">
        <v>705</v>
      </c>
      <c r="F461" s="105">
        <f>J461</f>
        <v>34592</v>
      </c>
      <c r="G461" s="114">
        <v>1</v>
      </c>
      <c r="H461" s="105">
        <f>J461</f>
        <v>34592</v>
      </c>
      <c r="I461" s="255">
        <v>3210</v>
      </c>
      <c r="J461" s="29">
        <v>34592</v>
      </c>
      <c r="K461" s="29"/>
      <c r="L461" s="29"/>
      <c r="M461" s="29"/>
      <c r="N461" s="29"/>
      <c r="O461" s="29"/>
      <c r="P461" s="29"/>
      <c r="Q461" s="29"/>
      <c r="R461" s="29"/>
      <c r="S461" s="29"/>
      <c r="T461" s="29"/>
      <c r="U461" s="29"/>
      <c r="V461" s="29">
        <v>34592</v>
      </c>
      <c r="W461" s="29">
        <f t="shared" si="52"/>
        <v>0</v>
      </c>
      <c r="X461" s="29"/>
      <c r="Y461" s="29">
        <f t="shared" si="51"/>
        <v>0</v>
      </c>
    </row>
    <row r="462" spans="1:25" ht="112.5">
      <c r="A462" s="295"/>
      <c r="B462" s="295"/>
      <c r="C462" s="295"/>
      <c r="D462" s="284"/>
      <c r="E462" s="65" t="s">
        <v>651</v>
      </c>
      <c r="F462" s="105">
        <f t="shared" si="62"/>
        <v>697200</v>
      </c>
      <c r="G462" s="114">
        <v>1</v>
      </c>
      <c r="H462" s="105">
        <f t="shared" si="61"/>
        <v>697200</v>
      </c>
      <c r="I462" s="255">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v>240000</v>
      </c>
      <c r="V462" s="29">
        <f>109777+60960</f>
        <v>170737</v>
      </c>
      <c r="W462" s="29">
        <f t="shared" si="52"/>
        <v>0</v>
      </c>
      <c r="X462" s="29">
        <f>20315.39+47402.58+176605.6</f>
        <v>244323.57</v>
      </c>
      <c r="Y462" s="29">
        <f t="shared" si="51"/>
        <v>42139.42999999999</v>
      </c>
    </row>
    <row r="463" spans="1:25" ht="18.75">
      <c r="A463" s="294" t="s">
        <v>941</v>
      </c>
      <c r="B463" s="294" t="s">
        <v>177</v>
      </c>
      <c r="C463" s="294" t="s">
        <v>656</v>
      </c>
      <c r="D463" s="283" t="s">
        <v>1187</v>
      </c>
      <c r="E463" s="65"/>
      <c r="F463" s="65"/>
      <c r="G463" s="65"/>
      <c r="H463" s="65"/>
      <c r="I463" s="255"/>
      <c r="J463" s="31">
        <f>SUM(J464:J466)</f>
        <v>8010597.79</v>
      </c>
      <c r="K463" s="31">
        <f aca="true" t="shared" si="63" ref="K463:X463">SUM(K464:K466)</f>
        <v>0</v>
      </c>
      <c r="L463" s="31">
        <f t="shared" si="63"/>
        <v>0</v>
      </c>
      <c r="M463" s="31">
        <f t="shared" si="63"/>
        <v>5982913</v>
      </c>
      <c r="N463" s="31">
        <f t="shared" si="63"/>
        <v>759600</v>
      </c>
      <c r="O463" s="31">
        <f t="shared" si="63"/>
        <v>-1118060</v>
      </c>
      <c r="P463" s="31">
        <f t="shared" si="63"/>
        <v>-893177</v>
      </c>
      <c r="Q463" s="31">
        <f t="shared" si="63"/>
        <v>1532199</v>
      </c>
      <c r="R463" s="31">
        <f t="shared" si="63"/>
        <v>1356830</v>
      </c>
      <c r="S463" s="31">
        <f t="shared" si="63"/>
        <v>0</v>
      </c>
      <c r="T463" s="31">
        <f t="shared" si="63"/>
        <v>390292.79</v>
      </c>
      <c r="U463" s="31">
        <f t="shared" si="63"/>
        <v>0</v>
      </c>
      <c r="V463" s="31">
        <f t="shared" si="63"/>
        <v>0</v>
      </c>
      <c r="W463" s="31">
        <f t="shared" si="63"/>
        <v>3.637978807091713E-11</v>
      </c>
      <c r="X463" s="31">
        <f t="shared" si="63"/>
        <v>7810596.75</v>
      </c>
      <c r="Y463" s="29">
        <f t="shared" si="51"/>
        <v>200001.04000000004</v>
      </c>
    </row>
    <row r="464" spans="1:25" ht="93.75">
      <c r="A464" s="295"/>
      <c r="B464" s="295"/>
      <c r="C464" s="295"/>
      <c r="D464" s="284"/>
      <c r="E464" s="65" t="s">
        <v>358</v>
      </c>
      <c r="F464" s="65"/>
      <c r="G464" s="65"/>
      <c r="H464" s="65"/>
      <c r="I464" s="255">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v>422208</v>
      </c>
      <c r="U464" s="29">
        <f>144500-23469-121031</f>
        <v>0</v>
      </c>
      <c r="V464" s="29">
        <f>301177-301177</f>
        <v>0</v>
      </c>
      <c r="W464" s="29">
        <f t="shared" si="52"/>
        <v>0</v>
      </c>
      <c r="X464" s="29">
        <f>40565+306950+474640+427846.2-427846.2+427846.2+1156600+61000+393000+1553319+507424+748110+150842+222216</f>
        <v>6042512.2</v>
      </c>
      <c r="Y464" s="29">
        <f t="shared" si="51"/>
        <v>200000.7999999998</v>
      </c>
    </row>
    <row r="465" spans="1:25" ht="81.75" customHeight="1">
      <c r="A465" s="295"/>
      <c r="B465" s="295"/>
      <c r="C465" s="295"/>
      <c r="D465" s="284"/>
      <c r="E465" s="65" t="s">
        <v>706</v>
      </c>
      <c r="F465" s="105">
        <f>J465</f>
        <v>881355.36</v>
      </c>
      <c r="G465" s="114">
        <v>1</v>
      </c>
      <c r="H465" s="105">
        <f aca="true" t="shared" si="64" ref="H465:H482">J465</f>
        <v>881355.36</v>
      </c>
      <c r="I465" s="255">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9">
        <f t="shared" si="51"/>
        <v>0.23999999999068677</v>
      </c>
    </row>
    <row r="466" spans="1:25" ht="97.5" customHeight="1">
      <c r="A466" s="295"/>
      <c r="B466" s="296"/>
      <c r="C466" s="295"/>
      <c r="D466" s="284"/>
      <c r="E466" s="65" t="s">
        <v>707</v>
      </c>
      <c r="F466" s="105">
        <f>J466</f>
        <v>886729.43</v>
      </c>
      <c r="G466" s="114">
        <v>1</v>
      </c>
      <c r="H466" s="105">
        <f t="shared" si="64"/>
        <v>886729.43</v>
      </c>
      <c r="I466" s="255">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9">
        <f t="shared" si="51"/>
        <v>0</v>
      </c>
    </row>
    <row r="467" spans="1:25" ht="18.75">
      <c r="A467" s="294" t="s">
        <v>1188</v>
      </c>
      <c r="B467" s="294" t="s">
        <v>178</v>
      </c>
      <c r="C467" s="294" t="s">
        <v>657</v>
      </c>
      <c r="D467" s="283" t="s">
        <v>1189</v>
      </c>
      <c r="E467" s="65"/>
      <c r="F467" s="65"/>
      <c r="G467" s="65"/>
      <c r="H467" s="65"/>
      <c r="I467" s="255"/>
      <c r="J467" s="31">
        <f>SUM(J468:J473)</f>
        <v>5681330.6</v>
      </c>
      <c r="K467" s="31">
        <f aca="true" t="shared" si="65" ref="K467:X467">SUM(K468:K473)</f>
        <v>0</v>
      </c>
      <c r="L467" s="31">
        <f t="shared" si="65"/>
        <v>0</v>
      </c>
      <c r="M467" s="31">
        <f t="shared" si="65"/>
        <v>624367</v>
      </c>
      <c r="N467" s="31">
        <f t="shared" si="65"/>
        <v>611549</v>
      </c>
      <c r="O467" s="31">
        <f t="shared" si="65"/>
        <v>-132758</v>
      </c>
      <c r="P467" s="31">
        <f t="shared" si="65"/>
        <v>260855</v>
      </c>
      <c r="Q467" s="31">
        <f t="shared" si="65"/>
        <v>1511365</v>
      </c>
      <c r="R467" s="31">
        <f t="shared" si="65"/>
        <v>1465699</v>
      </c>
      <c r="S467" s="31">
        <f t="shared" si="65"/>
        <v>-2007426</v>
      </c>
      <c r="T467" s="31">
        <f t="shared" si="65"/>
        <v>1292046.6</v>
      </c>
      <c r="U467" s="31">
        <f t="shared" si="65"/>
        <v>1171405</v>
      </c>
      <c r="V467" s="31">
        <f t="shared" si="65"/>
        <v>884228</v>
      </c>
      <c r="W467" s="31">
        <f t="shared" si="65"/>
        <v>-2.319211489520967E-11</v>
      </c>
      <c r="X467" s="31">
        <f t="shared" si="65"/>
        <v>2843144.29</v>
      </c>
      <c r="Y467" s="29">
        <f t="shared" si="51"/>
        <v>782553.31</v>
      </c>
    </row>
    <row r="468" spans="1:25" ht="98.25" customHeight="1">
      <c r="A468" s="295"/>
      <c r="B468" s="295"/>
      <c r="C468" s="295"/>
      <c r="D468" s="284"/>
      <c r="E468" s="65" t="s">
        <v>851</v>
      </c>
      <c r="F468" s="105">
        <f aca="true" t="shared" si="66" ref="F468:F473">J468</f>
        <v>1285039</v>
      </c>
      <c r="G468" s="114">
        <v>1</v>
      </c>
      <c r="H468" s="105">
        <f t="shared" si="64"/>
        <v>1285039</v>
      </c>
      <c r="I468" s="255">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9">
        <f t="shared" si="51"/>
        <v>144661.53000000003</v>
      </c>
    </row>
    <row r="469" spans="1:25" ht="93.75">
      <c r="A469" s="295"/>
      <c r="B469" s="295"/>
      <c r="C469" s="295"/>
      <c r="D469" s="284"/>
      <c r="E469" s="65" t="s">
        <v>73</v>
      </c>
      <c r="F469" s="105">
        <f t="shared" si="66"/>
        <v>833333</v>
      </c>
      <c r="G469" s="114">
        <v>1</v>
      </c>
      <c r="H469" s="105">
        <f t="shared" si="64"/>
        <v>833333</v>
      </c>
      <c r="I469" s="255">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35128+35128-35128+234615.3</f>
        <v>269743.3</v>
      </c>
      <c r="Y469" s="29">
        <f t="shared" si="51"/>
        <v>92384.70000000001</v>
      </c>
    </row>
    <row r="470" spans="1:25" ht="93.75">
      <c r="A470" s="295"/>
      <c r="B470" s="295"/>
      <c r="C470" s="295"/>
      <c r="D470" s="284"/>
      <c r="E470" s="65" t="s">
        <v>74</v>
      </c>
      <c r="F470" s="105">
        <f t="shared" si="66"/>
        <v>833333</v>
      </c>
      <c r="G470" s="114">
        <v>1</v>
      </c>
      <c r="H470" s="105">
        <f t="shared" si="64"/>
        <v>833333</v>
      </c>
      <c r="I470" s="255">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35128+234612.6+95220.02</f>
        <v>364960.62</v>
      </c>
      <c r="Y470" s="29">
        <f t="shared" si="51"/>
        <v>468372.38</v>
      </c>
    </row>
    <row r="471" spans="1:25" ht="93.75">
      <c r="A471" s="295"/>
      <c r="B471" s="295"/>
      <c r="C471" s="295"/>
      <c r="D471" s="284"/>
      <c r="E471" s="65" t="s">
        <v>1073</v>
      </c>
      <c r="F471" s="105">
        <f t="shared" si="66"/>
        <v>891625.6</v>
      </c>
      <c r="G471" s="114">
        <v>1</v>
      </c>
      <c r="H471" s="105">
        <f t="shared" si="64"/>
        <v>891625.6</v>
      </c>
      <c r="I471" s="255">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9">
        <f t="shared" si="51"/>
        <v>0</v>
      </c>
    </row>
    <row r="472" spans="1:25" ht="93.75">
      <c r="A472" s="295"/>
      <c r="B472" s="295"/>
      <c r="C472" s="295"/>
      <c r="D472" s="284"/>
      <c r="E472" s="65" t="s">
        <v>756</v>
      </c>
      <c r="F472" s="105">
        <f t="shared" si="66"/>
        <v>1373832</v>
      </c>
      <c r="G472" s="114">
        <v>1</v>
      </c>
      <c r="H472" s="105">
        <f t="shared" si="64"/>
        <v>1373832</v>
      </c>
      <c r="I472" s="255">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35128+7775.46+17807.94+147490.8+234608.7</f>
        <v>442810.9</v>
      </c>
      <c r="Y472" s="29">
        <f t="shared" si="51"/>
        <v>32219.099999999977</v>
      </c>
    </row>
    <row r="473" spans="1:25" ht="56.25">
      <c r="A473" s="295"/>
      <c r="B473" s="296"/>
      <c r="C473" s="295"/>
      <c r="D473" s="284"/>
      <c r="E473" s="65" t="s">
        <v>95</v>
      </c>
      <c r="F473" s="105">
        <f t="shared" si="66"/>
        <v>464168</v>
      </c>
      <c r="G473" s="114">
        <v>1</v>
      </c>
      <c r="H473" s="105">
        <f t="shared" si="64"/>
        <v>464168</v>
      </c>
      <c r="I473" s="255">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9">
        <f t="shared" si="51"/>
        <v>44915.59999999998</v>
      </c>
    </row>
    <row r="474" spans="1:25" ht="18.75" customHeight="1">
      <c r="A474" s="294" t="s">
        <v>942</v>
      </c>
      <c r="B474" s="294" t="s">
        <v>179</v>
      </c>
      <c r="C474" s="294" t="s">
        <v>658</v>
      </c>
      <c r="D474" s="283" t="s">
        <v>261</v>
      </c>
      <c r="E474" s="66"/>
      <c r="F474" s="66"/>
      <c r="G474" s="66"/>
      <c r="H474" s="66"/>
      <c r="I474" s="255"/>
      <c r="J474" s="60">
        <f>SUM(J475:J476)</f>
        <v>1330319</v>
      </c>
      <c r="K474" s="60">
        <f aca="true" t="shared" si="67" ref="K474:X474">SUM(K475:K476)</f>
        <v>0</v>
      </c>
      <c r="L474" s="60">
        <f t="shared" si="67"/>
        <v>0</v>
      </c>
      <c r="M474" s="60">
        <f t="shared" si="67"/>
        <v>372668</v>
      </c>
      <c r="N474" s="60">
        <f t="shared" si="67"/>
        <v>5000</v>
      </c>
      <c r="O474" s="60">
        <f t="shared" si="67"/>
        <v>58400</v>
      </c>
      <c r="P474" s="60">
        <f t="shared" si="67"/>
        <v>81200</v>
      </c>
      <c r="Q474" s="60">
        <f t="shared" si="67"/>
        <v>50000</v>
      </c>
      <c r="R474" s="60">
        <f t="shared" si="67"/>
        <v>0</v>
      </c>
      <c r="S474" s="60">
        <f t="shared" si="67"/>
        <v>0</v>
      </c>
      <c r="T474" s="60">
        <f t="shared" si="67"/>
        <v>0</v>
      </c>
      <c r="U474" s="60">
        <f t="shared" si="67"/>
        <v>763051</v>
      </c>
      <c r="V474" s="60">
        <f t="shared" si="67"/>
        <v>0</v>
      </c>
      <c r="W474" s="60">
        <f t="shared" si="67"/>
        <v>0</v>
      </c>
      <c r="X474" s="60">
        <f t="shared" si="67"/>
        <v>358074.53</v>
      </c>
      <c r="Y474" s="29">
        <f t="shared" si="51"/>
        <v>209193.46999999997</v>
      </c>
    </row>
    <row r="475" spans="1:25" ht="79.5" customHeight="1">
      <c r="A475" s="295"/>
      <c r="B475" s="295"/>
      <c r="C475" s="295"/>
      <c r="D475" s="284"/>
      <c r="E475" s="66" t="s">
        <v>42</v>
      </c>
      <c r="F475" s="105">
        <f>J475</f>
        <v>1135719</v>
      </c>
      <c r="G475" s="114">
        <v>1</v>
      </c>
      <c r="H475" s="105">
        <f t="shared" si="64"/>
        <v>1135719</v>
      </c>
      <c r="I475" s="255">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f>
        <v>203015.63000000003</v>
      </c>
      <c r="Y475" s="29">
        <f t="shared" si="51"/>
        <v>169652.36999999997</v>
      </c>
    </row>
    <row r="476" spans="1:25" ht="81" customHeight="1">
      <c r="A476" s="296"/>
      <c r="B476" s="296"/>
      <c r="C476" s="296"/>
      <c r="D476" s="301"/>
      <c r="E476" s="66" t="s">
        <v>1246</v>
      </c>
      <c r="F476" s="105">
        <f>J476</f>
        <v>194600</v>
      </c>
      <c r="G476" s="114">
        <v>1</v>
      </c>
      <c r="H476" s="105">
        <f>J476</f>
        <v>194600</v>
      </c>
      <c r="I476" s="255">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9">
        <f t="shared" si="51"/>
        <v>39541.100000000006</v>
      </c>
    </row>
    <row r="477" spans="1:25" ht="18.75">
      <c r="A477" s="294" t="s">
        <v>139</v>
      </c>
      <c r="B477" s="42"/>
      <c r="C477" s="42"/>
      <c r="D477" s="283" t="s">
        <v>903</v>
      </c>
      <c r="E477" s="66"/>
      <c r="F477" s="105"/>
      <c r="G477" s="114"/>
      <c r="H477" s="105"/>
      <c r="I477" s="270"/>
      <c r="J477" s="60">
        <f>J478</f>
        <v>574200</v>
      </c>
      <c r="K477" s="60">
        <f aca="true" t="shared" si="68" ref="K477:X477">K478</f>
        <v>0</v>
      </c>
      <c r="L477" s="60">
        <f t="shared" si="68"/>
        <v>0</v>
      </c>
      <c r="M477" s="60">
        <f t="shared" si="68"/>
        <v>0</v>
      </c>
      <c r="N477" s="60">
        <f t="shared" si="68"/>
        <v>177332</v>
      </c>
      <c r="O477" s="60">
        <f t="shared" si="68"/>
        <v>296868</v>
      </c>
      <c r="P477" s="60">
        <f t="shared" si="68"/>
        <v>100000</v>
      </c>
      <c r="Q477" s="60">
        <f t="shared" si="68"/>
        <v>0</v>
      </c>
      <c r="R477" s="60">
        <f t="shared" si="68"/>
        <v>0</v>
      </c>
      <c r="S477" s="60">
        <f t="shared" si="68"/>
        <v>-351200</v>
      </c>
      <c r="T477" s="60">
        <f t="shared" si="68"/>
        <v>351200</v>
      </c>
      <c r="U477" s="60">
        <f t="shared" si="68"/>
        <v>0</v>
      </c>
      <c r="V477" s="60">
        <f t="shared" si="68"/>
        <v>0</v>
      </c>
      <c r="W477" s="60">
        <f t="shared" si="68"/>
        <v>0</v>
      </c>
      <c r="X477" s="60">
        <f t="shared" si="68"/>
        <v>552000</v>
      </c>
      <c r="Y477" s="29">
        <f t="shared" si="51"/>
        <v>22200</v>
      </c>
    </row>
    <row r="478" spans="1:25" ht="81" customHeight="1">
      <c r="A478" s="295"/>
      <c r="B478" s="42"/>
      <c r="C478" s="42"/>
      <c r="D478" s="301"/>
      <c r="E478" s="66" t="s">
        <v>642</v>
      </c>
      <c r="F478" s="105"/>
      <c r="G478" s="114"/>
      <c r="H478" s="105"/>
      <c r="I478" s="255">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216000-194400+50400+144000+197548.8+138451.2</f>
        <v>552000</v>
      </c>
      <c r="Y478" s="29">
        <f t="shared" si="51"/>
        <v>22200</v>
      </c>
    </row>
    <row r="479" spans="1:25" ht="18.75">
      <c r="A479" s="294" t="s">
        <v>1128</v>
      </c>
      <c r="B479" s="294" t="s">
        <v>180</v>
      </c>
      <c r="C479" s="294" t="s">
        <v>655</v>
      </c>
      <c r="D479" s="283" t="s">
        <v>1127</v>
      </c>
      <c r="E479" s="66"/>
      <c r="F479" s="66"/>
      <c r="G479" s="66"/>
      <c r="H479" s="66"/>
      <c r="I479" s="255"/>
      <c r="J479" s="60">
        <f>SUM(J480:J482)</f>
        <v>1047835.77</v>
      </c>
      <c r="K479" s="60">
        <f aca="true" t="shared" si="69" ref="K479:X479">SUM(K480:K482)</f>
        <v>0</v>
      </c>
      <c r="L479" s="60">
        <f t="shared" si="69"/>
        <v>999199</v>
      </c>
      <c r="M479" s="60">
        <f t="shared" si="69"/>
        <v>5032</v>
      </c>
      <c r="N479" s="60">
        <f t="shared" si="69"/>
        <v>-5032</v>
      </c>
      <c r="O479" s="60">
        <f t="shared" si="69"/>
        <v>0</v>
      </c>
      <c r="P479" s="60">
        <f t="shared" si="69"/>
        <v>48645</v>
      </c>
      <c r="Q479" s="60">
        <f t="shared" si="69"/>
        <v>0</v>
      </c>
      <c r="R479" s="60">
        <f t="shared" si="69"/>
        <v>0</v>
      </c>
      <c r="S479" s="60">
        <f t="shared" si="69"/>
        <v>0</v>
      </c>
      <c r="T479" s="60">
        <f t="shared" si="69"/>
        <v>-8.23</v>
      </c>
      <c r="U479" s="60">
        <f t="shared" si="69"/>
        <v>0</v>
      </c>
      <c r="V479" s="60">
        <f t="shared" si="69"/>
        <v>0</v>
      </c>
      <c r="W479" s="60">
        <f t="shared" si="69"/>
        <v>-3.2009950245992513E-12</v>
      </c>
      <c r="X479" s="60">
        <f t="shared" si="69"/>
        <v>1022790.74</v>
      </c>
      <c r="Y479" s="29">
        <f t="shared" si="51"/>
        <v>25045.030000000028</v>
      </c>
    </row>
    <row r="480" spans="1:25" ht="157.5" customHeight="1">
      <c r="A480" s="295"/>
      <c r="B480" s="295"/>
      <c r="C480" s="295"/>
      <c r="D480" s="284"/>
      <c r="E480" s="188" t="s">
        <v>715</v>
      </c>
      <c r="F480" s="198">
        <f>J480</f>
        <v>999199</v>
      </c>
      <c r="G480" s="199">
        <v>1</v>
      </c>
      <c r="H480" s="198">
        <f t="shared" si="64"/>
        <v>999199</v>
      </c>
      <c r="I480" s="258">
        <v>3210</v>
      </c>
      <c r="J480" s="206">
        <v>999199</v>
      </c>
      <c r="K480" s="180"/>
      <c r="L480" s="180">
        <v>999199</v>
      </c>
      <c r="M480" s="180"/>
      <c r="N480" s="180"/>
      <c r="O480" s="180"/>
      <c r="P480" s="180"/>
      <c r="Q480" s="180"/>
      <c r="R480" s="180"/>
      <c r="S480" s="180"/>
      <c r="T480" s="180"/>
      <c r="U480" s="180"/>
      <c r="V480" s="180"/>
      <c r="W480" s="29">
        <f t="shared" si="52"/>
        <v>0</v>
      </c>
      <c r="X480" s="29">
        <f>30000+327651.8+616502.17</f>
        <v>974153.97</v>
      </c>
      <c r="Y480" s="29">
        <f t="shared" si="51"/>
        <v>25045.030000000028</v>
      </c>
    </row>
    <row r="481" spans="1:25" ht="54" hidden="1">
      <c r="A481" s="295"/>
      <c r="B481" s="295"/>
      <c r="C481" s="295"/>
      <c r="D481" s="284"/>
      <c r="E481" s="66" t="s">
        <v>642</v>
      </c>
      <c r="F481" s="105"/>
      <c r="G481" s="114"/>
      <c r="H481" s="105"/>
      <c r="I481" s="255">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9">
        <f t="shared" si="51"/>
        <v>0</v>
      </c>
    </row>
    <row r="482" spans="1:25" ht="81" customHeight="1">
      <c r="A482" s="296"/>
      <c r="B482" s="296"/>
      <c r="C482" s="296"/>
      <c r="D482" s="301"/>
      <c r="E482" s="66" t="s">
        <v>920</v>
      </c>
      <c r="F482" s="105">
        <f>J482</f>
        <v>48636.77</v>
      </c>
      <c r="G482" s="114">
        <v>1</v>
      </c>
      <c r="H482" s="105">
        <f t="shared" si="64"/>
        <v>48636.77</v>
      </c>
      <c r="I482" s="255">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9">
        <f t="shared" si="51"/>
        <v>0</v>
      </c>
    </row>
    <row r="483" spans="1:25" s="12" customFormat="1" ht="18.75">
      <c r="A483" s="291" t="s">
        <v>181</v>
      </c>
      <c r="B483" s="291" t="s">
        <v>182</v>
      </c>
      <c r="C483" s="310" t="s">
        <v>80</v>
      </c>
      <c r="D483" s="291" t="s">
        <v>223</v>
      </c>
      <c r="E483" s="67"/>
      <c r="F483" s="67"/>
      <c r="G483" s="67"/>
      <c r="H483" s="67"/>
      <c r="I483" s="257"/>
      <c r="J483" s="60">
        <f>SUM(J484:J484)</f>
        <v>699245</v>
      </c>
      <c r="K483" s="60">
        <f aca="true" t="shared" si="70" ref="K483:X483">SUM(K484:K484)</f>
        <v>0</v>
      </c>
      <c r="L483" s="60">
        <f t="shared" si="70"/>
        <v>0</v>
      </c>
      <c r="M483" s="60">
        <f t="shared" si="70"/>
        <v>700000</v>
      </c>
      <c r="N483" s="60">
        <f t="shared" si="70"/>
        <v>0</v>
      </c>
      <c r="O483" s="60">
        <f t="shared" si="70"/>
        <v>0</v>
      </c>
      <c r="P483" s="60">
        <f t="shared" si="70"/>
        <v>0</v>
      </c>
      <c r="Q483" s="60">
        <f t="shared" si="70"/>
        <v>0</v>
      </c>
      <c r="R483" s="60">
        <f t="shared" si="70"/>
        <v>0</v>
      </c>
      <c r="S483" s="60">
        <f t="shared" si="70"/>
        <v>0</v>
      </c>
      <c r="T483" s="60">
        <f t="shared" si="70"/>
        <v>-755</v>
      </c>
      <c r="U483" s="60">
        <f t="shared" si="70"/>
        <v>0</v>
      </c>
      <c r="V483" s="60">
        <f t="shared" si="70"/>
        <v>0</v>
      </c>
      <c r="W483" s="60">
        <f t="shared" si="70"/>
        <v>0</v>
      </c>
      <c r="X483" s="60">
        <f t="shared" si="70"/>
        <v>699245</v>
      </c>
      <c r="Y483" s="29">
        <f t="shared" si="51"/>
        <v>0</v>
      </c>
    </row>
    <row r="484" spans="1:25" ht="81.75" customHeight="1">
      <c r="A484" s="292"/>
      <c r="B484" s="292"/>
      <c r="C484" s="311"/>
      <c r="D484" s="292"/>
      <c r="E484" s="66" t="s">
        <v>52</v>
      </c>
      <c r="F484" s="66"/>
      <c r="G484" s="66"/>
      <c r="H484" s="66"/>
      <c r="I484" s="256">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9">
        <f t="shared" si="51"/>
        <v>0</v>
      </c>
    </row>
    <row r="485" spans="1:25" ht="37.5">
      <c r="A485" s="18" t="s">
        <v>1190</v>
      </c>
      <c r="B485" s="127"/>
      <c r="C485" s="37"/>
      <c r="D485" s="128" t="s">
        <v>262</v>
      </c>
      <c r="E485" s="129"/>
      <c r="F485" s="130"/>
      <c r="G485" s="131"/>
      <c r="H485" s="130"/>
      <c r="I485" s="232"/>
      <c r="J485" s="35">
        <f>J486</f>
        <v>7746109.61</v>
      </c>
      <c r="K485" s="35">
        <f aca="true" t="shared" si="71" ref="K485:X485">K486</f>
        <v>0</v>
      </c>
      <c r="L485" s="35">
        <f t="shared" si="71"/>
        <v>40000</v>
      </c>
      <c r="M485" s="35">
        <f t="shared" si="71"/>
        <v>1000000</v>
      </c>
      <c r="N485" s="35">
        <f t="shared" si="71"/>
        <v>105000</v>
      </c>
      <c r="O485" s="35">
        <f t="shared" si="71"/>
        <v>150000</v>
      </c>
      <c r="P485" s="35">
        <f t="shared" si="71"/>
        <v>544894</v>
      </c>
      <c r="Q485" s="35">
        <f t="shared" si="71"/>
        <v>1143930</v>
      </c>
      <c r="R485" s="35">
        <f t="shared" si="71"/>
        <v>2364000</v>
      </c>
      <c r="S485" s="35">
        <f t="shared" si="71"/>
        <v>1351348</v>
      </c>
      <c r="T485" s="35">
        <f t="shared" si="71"/>
        <v>-734562.39</v>
      </c>
      <c r="U485" s="35">
        <f t="shared" si="71"/>
        <v>819900</v>
      </c>
      <c r="V485" s="35">
        <f t="shared" si="71"/>
        <v>961600</v>
      </c>
      <c r="W485" s="35">
        <f t="shared" si="71"/>
        <v>9.094947017729282E-13</v>
      </c>
      <c r="X485" s="35">
        <f t="shared" si="71"/>
        <v>4037877.01</v>
      </c>
      <c r="Y485" s="29">
        <f t="shared" si="51"/>
        <v>1926732.6000000006</v>
      </c>
    </row>
    <row r="486" spans="1:25" ht="37.5">
      <c r="A486" s="18" t="s">
        <v>1191</v>
      </c>
      <c r="B486" s="127"/>
      <c r="C486" s="132"/>
      <c r="D486" s="128" t="s">
        <v>262</v>
      </c>
      <c r="E486" s="129"/>
      <c r="F486" s="130"/>
      <c r="G486" s="131"/>
      <c r="H486" s="130"/>
      <c r="I486" s="232"/>
      <c r="J486" s="35">
        <f>J487+J495+J498+J500+J516</f>
        <v>7746109.61</v>
      </c>
      <c r="K486" s="35">
        <f aca="true" t="shared" si="72" ref="K486:X486">K487+K495+K498+K500+K516</f>
        <v>0</v>
      </c>
      <c r="L486" s="35">
        <f t="shared" si="72"/>
        <v>40000</v>
      </c>
      <c r="M486" s="35">
        <f t="shared" si="72"/>
        <v>1000000</v>
      </c>
      <c r="N486" s="35">
        <f t="shared" si="72"/>
        <v>105000</v>
      </c>
      <c r="O486" s="35">
        <f t="shared" si="72"/>
        <v>150000</v>
      </c>
      <c r="P486" s="35">
        <f t="shared" si="72"/>
        <v>544894</v>
      </c>
      <c r="Q486" s="35">
        <f t="shared" si="72"/>
        <v>1143930</v>
      </c>
      <c r="R486" s="35">
        <f t="shared" si="72"/>
        <v>2364000</v>
      </c>
      <c r="S486" s="35">
        <f t="shared" si="72"/>
        <v>1351348</v>
      </c>
      <c r="T486" s="35">
        <f t="shared" si="72"/>
        <v>-734562.39</v>
      </c>
      <c r="U486" s="35">
        <f t="shared" si="72"/>
        <v>819900</v>
      </c>
      <c r="V486" s="35">
        <f t="shared" si="72"/>
        <v>961600</v>
      </c>
      <c r="W486" s="35">
        <f t="shared" si="72"/>
        <v>9.094947017729282E-13</v>
      </c>
      <c r="X486" s="35">
        <f t="shared" si="72"/>
        <v>4037877.01</v>
      </c>
      <c r="Y486" s="29">
        <f t="shared" si="51"/>
        <v>1926732.6000000006</v>
      </c>
    </row>
    <row r="487" spans="1:25" ht="18.75">
      <c r="A487" s="306" t="s">
        <v>276</v>
      </c>
      <c r="B487" s="291" t="s">
        <v>80</v>
      </c>
      <c r="C487" s="316" t="s">
        <v>79</v>
      </c>
      <c r="D487" s="297" t="s">
        <v>72</v>
      </c>
      <c r="E487" s="65"/>
      <c r="F487" s="65"/>
      <c r="G487" s="65"/>
      <c r="H487" s="65"/>
      <c r="I487" s="255"/>
      <c r="J487" s="31">
        <f>SUM(J488:J494)</f>
        <v>468000</v>
      </c>
      <c r="K487" s="31">
        <f aca="true" t="shared" si="73" ref="K487:X487">SUM(K488:K494)</f>
        <v>0</v>
      </c>
      <c r="L487" s="31">
        <f t="shared" si="73"/>
        <v>0</v>
      </c>
      <c r="M487" s="31">
        <f t="shared" si="73"/>
        <v>0</v>
      </c>
      <c r="N487" s="31">
        <f t="shared" si="73"/>
        <v>0</v>
      </c>
      <c r="O487" s="31">
        <f t="shared" si="73"/>
        <v>0</v>
      </c>
      <c r="P487" s="31">
        <f t="shared" si="73"/>
        <v>0</v>
      </c>
      <c r="Q487" s="31">
        <f t="shared" si="73"/>
        <v>0</v>
      </c>
      <c r="R487" s="31">
        <f t="shared" si="73"/>
        <v>0</v>
      </c>
      <c r="S487" s="31">
        <f t="shared" si="73"/>
        <v>196500</v>
      </c>
      <c r="T487" s="31">
        <f t="shared" si="73"/>
        <v>180000</v>
      </c>
      <c r="U487" s="31">
        <f t="shared" si="73"/>
        <v>91500</v>
      </c>
      <c r="V487" s="31">
        <f t="shared" si="73"/>
        <v>0</v>
      </c>
      <c r="W487" s="31">
        <f t="shared" si="73"/>
        <v>0</v>
      </c>
      <c r="X487" s="31">
        <f t="shared" si="73"/>
        <v>0</v>
      </c>
      <c r="Y487" s="29">
        <f t="shared" si="51"/>
        <v>376500</v>
      </c>
    </row>
    <row r="488" spans="1:25" ht="56.25">
      <c r="A488" s="306"/>
      <c r="B488" s="293"/>
      <c r="C488" s="316"/>
      <c r="D488" s="297"/>
      <c r="E488" s="65" t="s">
        <v>53</v>
      </c>
      <c r="F488" s="65"/>
      <c r="G488" s="65"/>
      <c r="H488" s="65"/>
      <c r="I488" s="255">
        <v>3110</v>
      </c>
      <c r="J488" s="54">
        <v>196500</v>
      </c>
      <c r="K488" s="29"/>
      <c r="L488" s="29"/>
      <c r="M488" s="29"/>
      <c r="N488" s="29"/>
      <c r="O488" s="29"/>
      <c r="P488" s="29"/>
      <c r="Q488" s="29"/>
      <c r="R488" s="29"/>
      <c r="S488" s="29">
        <v>196500</v>
      </c>
      <c r="T488" s="29"/>
      <c r="U488" s="29"/>
      <c r="V488" s="29"/>
      <c r="W488" s="29">
        <f t="shared" si="52"/>
        <v>0</v>
      </c>
      <c r="X488" s="29"/>
      <c r="Y488" s="29">
        <f t="shared" si="51"/>
        <v>196500</v>
      </c>
    </row>
    <row r="489" spans="1:25" ht="72" hidden="1">
      <c r="A489" s="306"/>
      <c r="B489" s="293"/>
      <c r="C489" s="316"/>
      <c r="D489" s="297"/>
      <c r="E489" s="65" t="s">
        <v>587</v>
      </c>
      <c r="F489" s="65"/>
      <c r="G489" s="65"/>
      <c r="H489" s="65"/>
      <c r="I489" s="255">
        <v>3110</v>
      </c>
      <c r="J489" s="54">
        <f>200000-200000</f>
        <v>0</v>
      </c>
      <c r="K489" s="29"/>
      <c r="L489" s="29"/>
      <c r="M489" s="29"/>
      <c r="N489" s="29"/>
      <c r="O489" s="29"/>
      <c r="P489" s="29"/>
      <c r="Q489" s="29"/>
      <c r="R489" s="29"/>
      <c r="S489" s="29"/>
      <c r="T489" s="29">
        <f>200000-200000</f>
        <v>0</v>
      </c>
      <c r="U489" s="29"/>
      <c r="V489" s="29"/>
      <c r="W489" s="29">
        <f t="shared" si="52"/>
        <v>0</v>
      </c>
      <c r="X489" s="29"/>
      <c r="Y489" s="29">
        <f t="shared" si="51"/>
        <v>0</v>
      </c>
    </row>
    <row r="490" spans="1:25" ht="56.25" customHeight="1" hidden="1">
      <c r="A490" s="306"/>
      <c r="B490" s="293"/>
      <c r="C490" s="316"/>
      <c r="D490" s="297"/>
      <c r="E490" s="65" t="s">
        <v>54</v>
      </c>
      <c r="F490" s="65"/>
      <c r="G490" s="65"/>
      <c r="H490" s="65"/>
      <c r="I490" s="255">
        <v>3110</v>
      </c>
      <c r="J490" s="54">
        <f>100000-100000</f>
        <v>0</v>
      </c>
      <c r="K490" s="29"/>
      <c r="L490" s="29"/>
      <c r="M490" s="29"/>
      <c r="N490" s="29"/>
      <c r="O490" s="29"/>
      <c r="P490" s="29"/>
      <c r="Q490" s="29"/>
      <c r="R490" s="29"/>
      <c r="S490" s="29"/>
      <c r="T490" s="29">
        <f>100000-100000</f>
        <v>0</v>
      </c>
      <c r="U490" s="29"/>
      <c r="V490" s="29"/>
      <c r="W490" s="29">
        <f t="shared" si="52"/>
        <v>0</v>
      </c>
      <c r="X490" s="29"/>
      <c r="Y490" s="29">
        <f t="shared" si="51"/>
        <v>0</v>
      </c>
    </row>
    <row r="491" spans="1:25" ht="120.75" customHeight="1" hidden="1">
      <c r="A491" s="306"/>
      <c r="B491" s="293"/>
      <c r="C491" s="316"/>
      <c r="D491" s="297"/>
      <c r="E491" s="65" t="s">
        <v>55</v>
      </c>
      <c r="F491" s="65"/>
      <c r="G491" s="65"/>
      <c r="H491" s="65"/>
      <c r="I491" s="255">
        <v>3110</v>
      </c>
      <c r="J491" s="54">
        <f>100000-100000</f>
        <v>0</v>
      </c>
      <c r="K491" s="29"/>
      <c r="L491" s="29"/>
      <c r="M491" s="29"/>
      <c r="N491" s="29"/>
      <c r="O491" s="29"/>
      <c r="P491" s="29"/>
      <c r="Q491" s="29"/>
      <c r="R491" s="29"/>
      <c r="S491" s="29"/>
      <c r="T491" s="29">
        <f>100000-100000</f>
        <v>0</v>
      </c>
      <c r="U491" s="29"/>
      <c r="V491" s="29"/>
      <c r="W491" s="29">
        <f t="shared" si="52"/>
        <v>0</v>
      </c>
      <c r="X491" s="29"/>
      <c r="Y491" s="29">
        <f t="shared" si="51"/>
        <v>0</v>
      </c>
    </row>
    <row r="492" spans="1:25" ht="36" hidden="1">
      <c r="A492" s="306"/>
      <c r="B492" s="293"/>
      <c r="C492" s="316"/>
      <c r="D492" s="297"/>
      <c r="E492" s="65" t="s">
        <v>56</v>
      </c>
      <c r="F492" s="65"/>
      <c r="G492" s="65"/>
      <c r="H492" s="65"/>
      <c r="I492" s="255"/>
      <c r="J492" s="54"/>
      <c r="K492" s="29"/>
      <c r="L492" s="29"/>
      <c r="M492" s="29"/>
      <c r="N492" s="29"/>
      <c r="O492" s="29"/>
      <c r="P492" s="29"/>
      <c r="Q492" s="29"/>
      <c r="R492" s="29"/>
      <c r="S492" s="29"/>
      <c r="T492" s="29"/>
      <c r="U492" s="29"/>
      <c r="V492" s="29"/>
      <c r="W492" s="29">
        <f t="shared" si="52"/>
        <v>0</v>
      </c>
      <c r="X492" s="29"/>
      <c r="Y492" s="29">
        <f t="shared" si="51"/>
        <v>0</v>
      </c>
    </row>
    <row r="493" spans="1:25" ht="56.25">
      <c r="A493" s="306"/>
      <c r="B493" s="293"/>
      <c r="C493" s="316"/>
      <c r="D493" s="297"/>
      <c r="E493" s="65" t="s">
        <v>1195</v>
      </c>
      <c r="F493" s="65"/>
      <c r="G493" s="65"/>
      <c r="H493" s="65"/>
      <c r="I493" s="255">
        <v>3110</v>
      </c>
      <c r="J493" s="54">
        <v>91500</v>
      </c>
      <c r="K493" s="29"/>
      <c r="L493" s="29"/>
      <c r="M493" s="29"/>
      <c r="N493" s="29"/>
      <c r="O493" s="29"/>
      <c r="P493" s="29"/>
      <c r="Q493" s="29"/>
      <c r="R493" s="29"/>
      <c r="S493" s="29"/>
      <c r="T493" s="29"/>
      <c r="U493" s="29">
        <v>91500</v>
      </c>
      <c r="V493" s="29"/>
      <c r="W493" s="29">
        <f t="shared" si="52"/>
        <v>0</v>
      </c>
      <c r="X493" s="29"/>
      <c r="Y493" s="29">
        <f t="shared" si="51"/>
        <v>0</v>
      </c>
    </row>
    <row r="494" spans="1:25" ht="56.25">
      <c r="A494" s="306"/>
      <c r="B494" s="292"/>
      <c r="C494" s="316"/>
      <c r="D494" s="297"/>
      <c r="E494" s="65" t="s">
        <v>1116</v>
      </c>
      <c r="F494" s="65"/>
      <c r="G494" s="65"/>
      <c r="H494" s="65"/>
      <c r="I494" s="255">
        <v>3110</v>
      </c>
      <c r="J494" s="54">
        <f>380000-200000</f>
        <v>180000</v>
      </c>
      <c r="K494" s="29"/>
      <c r="L494" s="29"/>
      <c r="M494" s="29"/>
      <c r="N494" s="29"/>
      <c r="O494" s="29"/>
      <c r="P494" s="29"/>
      <c r="Q494" s="29"/>
      <c r="R494" s="29"/>
      <c r="S494" s="29"/>
      <c r="T494" s="29">
        <f>380000-200000</f>
        <v>180000</v>
      </c>
      <c r="U494" s="29"/>
      <c r="V494" s="29"/>
      <c r="W494" s="29">
        <f t="shared" si="52"/>
        <v>0</v>
      </c>
      <c r="X494" s="29"/>
      <c r="Y494" s="29">
        <f t="shared" si="51"/>
        <v>180000</v>
      </c>
    </row>
    <row r="495" spans="1:25" ht="18.75">
      <c r="A495" s="306" t="s">
        <v>277</v>
      </c>
      <c r="B495" s="291" t="s">
        <v>8</v>
      </c>
      <c r="C495" s="316" t="s">
        <v>84</v>
      </c>
      <c r="D495" s="297" t="s">
        <v>896</v>
      </c>
      <c r="E495" s="65"/>
      <c r="F495" s="65"/>
      <c r="G495" s="65"/>
      <c r="H495" s="65"/>
      <c r="I495" s="255"/>
      <c r="J495" s="60">
        <f>SUM(J496:J497)</f>
        <v>1398087.61</v>
      </c>
      <c r="K495" s="60">
        <f aca="true" t="shared" si="74" ref="K495:X495">SUM(K496:K497)</f>
        <v>0</v>
      </c>
      <c r="L495" s="60">
        <f t="shared" si="74"/>
        <v>0</v>
      </c>
      <c r="M495" s="60">
        <f t="shared" si="74"/>
        <v>106000</v>
      </c>
      <c r="N495" s="60">
        <f t="shared" si="74"/>
        <v>0</v>
      </c>
      <c r="O495" s="60">
        <f t="shared" si="74"/>
        <v>0</v>
      </c>
      <c r="P495" s="60">
        <f t="shared" si="74"/>
        <v>0</v>
      </c>
      <c r="Q495" s="60">
        <f t="shared" si="74"/>
        <v>0</v>
      </c>
      <c r="R495" s="60">
        <f t="shared" si="74"/>
        <v>0</v>
      </c>
      <c r="S495" s="60">
        <f t="shared" si="74"/>
        <v>0</v>
      </c>
      <c r="T495" s="60">
        <f t="shared" si="74"/>
        <v>-7912.39</v>
      </c>
      <c r="U495" s="60">
        <f t="shared" si="74"/>
        <v>338400</v>
      </c>
      <c r="V495" s="60">
        <f t="shared" si="74"/>
        <v>961600</v>
      </c>
      <c r="W495" s="60">
        <f t="shared" si="74"/>
        <v>9.094947017729282E-13</v>
      </c>
      <c r="X495" s="60">
        <f t="shared" si="74"/>
        <v>98087.61</v>
      </c>
      <c r="Y495" s="29">
        <f t="shared" si="51"/>
        <v>0</v>
      </c>
    </row>
    <row r="496" spans="1:25" ht="37.5">
      <c r="A496" s="306"/>
      <c r="B496" s="293"/>
      <c r="C496" s="316"/>
      <c r="D496" s="297"/>
      <c r="E496" s="65" t="s">
        <v>1117</v>
      </c>
      <c r="F496" s="65"/>
      <c r="G496" s="65"/>
      <c r="H496" s="65"/>
      <c r="I496" s="255">
        <v>3110</v>
      </c>
      <c r="J496" s="54">
        <v>1300000</v>
      </c>
      <c r="K496" s="29"/>
      <c r="L496" s="29"/>
      <c r="M496" s="29"/>
      <c r="N496" s="29"/>
      <c r="O496" s="29"/>
      <c r="P496" s="29"/>
      <c r="Q496" s="29"/>
      <c r="R496" s="29"/>
      <c r="S496" s="29"/>
      <c r="T496" s="29"/>
      <c r="U496" s="29">
        <v>338400</v>
      </c>
      <c r="V496" s="29">
        <v>961600</v>
      </c>
      <c r="W496" s="29">
        <f t="shared" si="52"/>
        <v>0</v>
      </c>
      <c r="X496" s="29"/>
      <c r="Y496" s="29">
        <f aca="true" t="shared" si="75" ref="Y496:Y565">K496+L496+M496+N496+O496+P496+Q496+R496+S496+T496-X496</f>
        <v>0</v>
      </c>
    </row>
    <row r="497" spans="1:25" ht="195" customHeight="1">
      <c r="A497" s="306"/>
      <c r="B497" s="292"/>
      <c r="C497" s="316"/>
      <c r="D497" s="297"/>
      <c r="E497" s="65" t="s">
        <v>980</v>
      </c>
      <c r="F497" s="105">
        <f>J497</f>
        <v>98087.61</v>
      </c>
      <c r="G497" s="114">
        <v>1</v>
      </c>
      <c r="H497" s="105">
        <f>J497</f>
        <v>98087.61</v>
      </c>
      <c r="I497" s="222">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9">
        <f t="shared" si="75"/>
        <v>0</v>
      </c>
    </row>
    <row r="498" spans="1:25" ht="18.75">
      <c r="A498" s="291" t="s">
        <v>1192</v>
      </c>
      <c r="B498" s="291" t="s">
        <v>981</v>
      </c>
      <c r="C498" s="291" t="s">
        <v>1193</v>
      </c>
      <c r="D498" s="283" t="s">
        <v>33</v>
      </c>
      <c r="E498" s="65"/>
      <c r="F498" s="65"/>
      <c r="G498" s="65"/>
      <c r="H498" s="65"/>
      <c r="I498" s="255"/>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9">
        <f t="shared" si="75"/>
        <v>0</v>
      </c>
    </row>
    <row r="499" spans="1:25" ht="119.25" customHeight="1">
      <c r="A499" s="292"/>
      <c r="B499" s="292"/>
      <c r="C499" s="292"/>
      <c r="D499" s="301"/>
      <c r="E499" s="187" t="s">
        <v>443</v>
      </c>
      <c r="F499" s="187"/>
      <c r="G499" s="187"/>
      <c r="H499" s="187"/>
      <c r="I499" s="258">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9">
        <f t="shared" si="75"/>
        <v>0</v>
      </c>
    </row>
    <row r="500" spans="1:25" ht="18.75">
      <c r="A500" s="302" t="s">
        <v>315</v>
      </c>
      <c r="B500" s="294" t="s">
        <v>982</v>
      </c>
      <c r="C500" s="302" t="s">
        <v>1118</v>
      </c>
      <c r="D500" s="297" t="s">
        <v>314</v>
      </c>
      <c r="E500" s="65"/>
      <c r="F500" s="65"/>
      <c r="G500" s="65"/>
      <c r="H500" s="65"/>
      <c r="I500" s="255"/>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461017.39999999997</v>
      </c>
      <c r="Y500" s="29">
        <f t="shared" si="75"/>
        <v>1550232.6</v>
      </c>
    </row>
    <row r="501" spans="1:25" ht="117.75" customHeight="1" hidden="1">
      <c r="A501" s="302"/>
      <c r="B501" s="295"/>
      <c r="C501" s="302"/>
      <c r="D501" s="297"/>
      <c r="E501" s="65" t="s">
        <v>479</v>
      </c>
      <c r="F501" s="65"/>
      <c r="G501" s="65"/>
      <c r="H501" s="65"/>
      <c r="I501" s="255">
        <v>3110</v>
      </c>
      <c r="J501" s="54">
        <f>61000-61000</f>
        <v>0</v>
      </c>
      <c r="K501" s="29"/>
      <c r="L501" s="29"/>
      <c r="M501" s="29"/>
      <c r="N501" s="29"/>
      <c r="O501" s="29"/>
      <c r="P501" s="29"/>
      <c r="Q501" s="29"/>
      <c r="R501" s="29"/>
      <c r="S501" s="29">
        <v>45900</v>
      </c>
      <c r="T501" s="29">
        <f>15100-61000</f>
        <v>-45900</v>
      </c>
      <c r="U501" s="29"/>
      <c r="V501" s="29"/>
      <c r="W501" s="29">
        <f t="shared" si="52"/>
        <v>0</v>
      </c>
      <c r="X501" s="29"/>
      <c r="Y501" s="29">
        <f t="shared" si="75"/>
        <v>0</v>
      </c>
    </row>
    <row r="502" spans="1:25" ht="93.75">
      <c r="A502" s="302"/>
      <c r="B502" s="295"/>
      <c r="C502" s="302"/>
      <c r="D502" s="297"/>
      <c r="E502" s="65" t="s">
        <v>1070</v>
      </c>
      <c r="F502" s="65"/>
      <c r="G502" s="65"/>
      <c r="H502" s="65"/>
      <c r="I502" s="255">
        <v>3110</v>
      </c>
      <c r="J502" s="54">
        <f>19000-300</f>
        <v>18700</v>
      </c>
      <c r="K502" s="29"/>
      <c r="L502" s="29"/>
      <c r="M502" s="29">
        <v>19000</v>
      </c>
      <c r="N502" s="29"/>
      <c r="O502" s="29"/>
      <c r="P502" s="29"/>
      <c r="Q502" s="29"/>
      <c r="R502" s="29"/>
      <c r="S502" s="29"/>
      <c r="T502" s="29">
        <v>-300</v>
      </c>
      <c r="U502" s="29"/>
      <c r="V502" s="29"/>
      <c r="W502" s="29">
        <f t="shared" si="52"/>
        <v>0</v>
      </c>
      <c r="X502" s="29">
        <v>18700</v>
      </c>
      <c r="Y502" s="29">
        <f t="shared" si="75"/>
        <v>0</v>
      </c>
    </row>
    <row r="503" spans="1:25" ht="93.75">
      <c r="A503" s="302"/>
      <c r="B503" s="295"/>
      <c r="C503" s="302"/>
      <c r="D503" s="297"/>
      <c r="E503" s="65" t="s">
        <v>1071</v>
      </c>
      <c r="F503" s="65"/>
      <c r="G503" s="65"/>
      <c r="H503" s="65"/>
      <c r="I503" s="255">
        <v>3110</v>
      </c>
      <c r="J503" s="54">
        <f>18000-50</f>
        <v>17950</v>
      </c>
      <c r="K503" s="29"/>
      <c r="L503" s="29"/>
      <c r="M503" s="29">
        <v>18000</v>
      </c>
      <c r="N503" s="29"/>
      <c r="O503" s="29"/>
      <c r="P503" s="29"/>
      <c r="Q503" s="29"/>
      <c r="R503" s="29"/>
      <c r="S503" s="29"/>
      <c r="T503" s="29">
        <v>-50</v>
      </c>
      <c r="U503" s="29"/>
      <c r="V503" s="29"/>
      <c r="W503" s="29">
        <f t="shared" si="52"/>
        <v>0</v>
      </c>
      <c r="X503" s="29">
        <v>17950</v>
      </c>
      <c r="Y503" s="29">
        <f t="shared" si="75"/>
        <v>0</v>
      </c>
    </row>
    <row r="504" spans="1:25" ht="97.5" customHeight="1">
      <c r="A504" s="302"/>
      <c r="B504" s="295"/>
      <c r="C504" s="302"/>
      <c r="D504" s="297"/>
      <c r="E504" s="65" t="s">
        <v>1211</v>
      </c>
      <c r="F504" s="65"/>
      <c r="G504" s="65"/>
      <c r="H504" s="65"/>
      <c r="I504" s="255">
        <v>3110</v>
      </c>
      <c r="J504" s="54">
        <v>18000</v>
      </c>
      <c r="K504" s="29"/>
      <c r="L504" s="29"/>
      <c r="M504" s="29">
        <v>18000</v>
      </c>
      <c r="N504" s="29"/>
      <c r="O504" s="29"/>
      <c r="P504" s="29"/>
      <c r="Q504" s="29"/>
      <c r="R504" s="29"/>
      <c r="S504" s="29"/>
      <c r="T504" s="29"/>
      <c r="U504" s="29"/>
      <c r="V504" s="29"/>
      <c r="W504" s="29">
        <f t="shared" si="52"/>
        <v>0</v>
      </c>
      <c r="X504" s="29">
        <v>18000</v>
      </c>
      <c r="Y504" s="29">
        <f t="shared" si="75"/>
        <v>0</v>
      </c>
    </row>
    <row r="505" spans="1:25" ht="115.5" customHeight="1" hidden="1">
      <c r="A505" s="302"/>
      <c r="B505" s="295"/>
      <c r="C505" s="302"/>
      <c r="D505" s="297"/>
      <c r="E505" s="65" t="s">
        <v>1110</v>
      </c>
      <c r="F505" s="65"/>
      <c r="G505" s="65"/>
      <c r="H505" s="65"/>
      <c r="I505" s="255">
        <v>3110</v>
      </c>
      <c r="J505" s="54">
        <f>75000-75000</f>
        <v>0</v>
      </c>
      <c r="K505" s="29"/>
      <c r="L505" s="29"/>
      <c r="M505" s="29"/>
      <c r="N505" s="29"/>
      <c r="O505" s="29"/>
      <c r="P505" s="29"/>
      <c r="Q505" s="29"/>
      <c r="R505" s="29"/>
      <c r="S505" s="29"/>
      <c r="T505" s="29">
        <f>34900-34900</f>
        <v>0</v>
      </c>
      <c r="U505" s="29">
        <f>40100-40100</f>
        <v>0</v>
      </c>
      <c r="V505" s="29"/>
      <c r="W505" s="29">
        <f t="shared" si="52"/>
        <v>0</v>
      </c>
      <c r="X505" s="29"/>
      <c r="Y505" s="29">
        <f t="shared" si="75"/>
        <v>0</v>
      </c>
    </row>
    <row r="506" spans="1:25" ht="54" hidden="1">
      <c r="A506" s="302"/>
      <c r="B506" s="295"/>
      <c r="C506" s="302"/>
      <c r="D506" s="297"/>
      <c r="E506" s="65" t="s">
        <v>349</v>
      </c>
      <c r="F506" s="65"/>
      <c r="G506" s="65"/>
      <c r="H506" s="65"/>
      <c r="I506" s="255">
        <v>3110</v>
      </c>
      <c r="J506" s="54">
        <f>45000-45000</f>
        <v>0</v>
      </c>
      <c r="K506" s="29"/>
      <c r="L506" s="29"/>
      <c r="M506" s="29"/>
      <c r="N506" s="29"/>
      <c r="O506" s="29"/>
      <c r="P506" s="29"/>
      <c r="Q506" s="29"/>
      <c r="R506" s="29"/>
      <c r="S506" s="29"/>
      <c r="T506" s="29"/>
      <c r="U506" s="29">
        <f>45000-45000</f>
        <v>0</v>
      </c>
      <c r="V506" s="29"/>
      <c r="W506" s="29">
        <f t="shared" si="52"/>
        <v>0</v>
      </c>
      <c r="X506" s="29"/>
      <c r="Y506" s="29">
        <f t="shared" si="75"/>
        <v>0</v>
      </c>
    </row>
    <row r="507" spans="1:25" ht="112.5">
      <c r="A507" s="302"/>
      <c r="B507" s="295"/>
      <c r="C507" s="302"/>
      <c r="D507" s="297"/>
      <c r="E507" s="65" t="s">
        <v>1194</v>
      </c>
      <c r="F507" s="65"/>
      <c r="G507" s="65"/>
      <c r="H507" s="65"/>
      <c r="I507" s="255">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9">
        <f t="shared" si="75"/>
        <v>0</v>
      </c>
    </row>
    <row r="508" spans="1:25" ht="93.75">
      <c r="A508" s="302"/>
      <c r="B508" s="295"/>
      <c r="C508" s="302"/>
      <c r="D508" s="297"/>
      <c r="E508" s="65" t="s">
        <v>350</v>
      </c>
      <c r="F508" s="65"/>
      <c r="G508" s="65"/>
      <c r="H508" s="65"/>
      <c r="I508" s="255">
        <v>3110</v>
      </c>
      <c r="J508" s="54">
        <v>195000</v>
      </c>
      <c r="K508" s="29"/>
      <c r="L508" s="29"/>
      <c r="M508" s="29"/>
      <c r="N508" s="29"/>
      <c r="O508" s="29"/>
      <c r="P508" s="29"/>
      <c r="Q508" s="29"/>
      <c r="R508" s="29"/>
      <c r="S508" s="29"/>
      <c r="T508" s="29"/>
      <c r="U508" s="29">
        <v>195000</v>
      </c>
      <c r="V508" s="29"/>
      <c r="W508" s="29">
        <f t="shared" si="78"/>
        <v>0</v>
      </c>
      <c r="X508" s="29"/>
      <c r="Y508" s="29">
        <f t="shared" si="75"/>
        <v>0</v>
      </c>
    </row>
    <row r="509" spans="1:25" ht="102.75" customHeight="1">
      <c r="A509" s="302"/>
      <c r="B509" s="295"/>
      <c r="C509" s="302"/>
      <c r="D509" s="297"/>
      <c r="E509" s="65" t="s">
        <v>899</v>
      </c>
      <c r="F509" s="65"/>
      <c r="G509" s="65"/>
      <c r="H509" s="65"/>
      <c r="I509" s="255">
        <v>3110</v>
      </c>
      <c r="J509" s="54">
        <v>195000</v>
      </c>
      <c r="K509" s="29"/>
      <c r="L509" s="29"/>
      <c r="M509" s="29"/>
      <c r="N509" s="29"/>
      <c r="O509" s="29"/>
      <c r="P509" s="29"/>
      <c r="Q509" s="29"/>
      <c r="R509" s="29"/>
      <c r="S509" s="29"/>
      <c r="T509" s="29"/>
      <c r="U509" s="29">
        <v>195000</v>
      </c>
      <c r="V509" s="29"/>
      <c r="W509" s="29">
        <f t="shared" si="78"/>
        <v>0</v>
      </c>
      <c r="X509" s="29"/>
      <c r="Y509" s="29">
        <f t="shared" si="75"/>
        <v>0</v>
      </c>
    </row>
    <row r="510" spans="1:25" ht="54" hidden="1">
      <c r="A510" s="302"/>
      <c r="B510" s="295"/>
      <c r="C510" s="302"/>
      <c r="D510" s="297"/>
      <c r="E510" s="65" t="s">
        <v>431</v>
      </c>
      <c r="F510" s="65"/>
      <c r="G510" s="65"/>
      <c r="H510" s="65"/>
      <c r="I510" s="255"/>
      <c r="J510" s="54"/>
      <c r="K510" s="29"/>
      <c r="L510" s="29"/>
      <c r="M510" s="29"/>
      <c r="N510" s="29"/>
      <c r="O510" s="29"/>
      <c r="P510" s="29"/>
      <c r="Q510" s="29"/>
      <c r="R510" s="29"/>
      <c r="S510" s="29"/>
      <c r="T510" s="29"/>
      <c r="U510" s="29"/>
      <c r="V510" s="29"/>
      <c r="W510" s="29">
        <f t="shared" si="78"/>
        <v>0</v>
      </c>
      <c r="X510" s="29"/>
      <c r="Y510" s="29">
        <f t="shared" si="75"/>
        <v>0</v>
      </c>
    </row>
    <row r="511" spans="1:25" ht="36" hidden="1">
      <c r="A511" s="302"/>
      <c r="B511" s="295"/>
      <c r="C511" s="302"/>
      <c r="D511" s="297"/>
      <c r="E511" s="65" t="s">
        <v>1032</v>
      </c>
      <c r="F511" s="65"/>
      <c r="G511" s="65"/>
      <c r="H511" s="65"/>
      <c r="I511" s="255"/>
      <c r="J511" s="54"/>
      <c r="K511" s="29"/>
      <c r="L511" s="29"/>
      <c r="M511" s="29"/>
      <c r="N511" s="29"/>
      <c r="O511" s="29"/>
      <c r="P511" s="29"/>
      <c r="Q511" s="29"/>
      <c r="R511" s="29"/>
      <c r="S511" s="29"/>
      <c r="T511" s="29"/>
      <c r="U511" s="29"/>
      <c r="V511" s="29"/>
      <c r="W511" s="29">
        <f t="shared" si="78"/>
        <v>0</v>
      </c>
      <c r="X511" s="29"/>
      <c r="Y511" s="29">
        <f t="shared" si="75"/>
        <v>0</v>
      </c>
    </row>
    <row r="512" spans="1:25" ht="93.75">
      <c r="A512" s="302"/>
      <c r="B512" s="295"/>
      <c r="C512" s="302"/>
      <c r="D512" s="297"/>
      <c r="E512" s="65" t="s">
        <v>348</v>
      </c>
      <c r="F512" s="105">
        <f>J512</f>
        <v>1143800</v>
      </c>
      <c r="G512" s="114">
        <v>1</v>
      </c>
      <c r="H512" s="105">
        <f>J512</f>
        <v>1143800</v>
      </c>
      <c r="I512" s="222">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9">
        <f t="shared" si="75"/>
        <v>1088436.8</v>
      </c>
    </row>
    <row r="513" spans="1:25" ht="131.25">
      <c r="A513" s="302"/>
      <c r="B513" s="295"/>
      <c r="C513" s="302"/>
      <c r="D513" s="297"/>
      <c r="E513" s="65" t="s">
        <v>268</v>
      </c>
      <c r="F513" s="105">
        <f>J513</f>
        <v>58000</v>
      </c>
      <c r="G513" s="114">
        <v>1</v>
      </c>
      <c r="H513" s="105">
        <f>J513</f>
        <v>58000</v>
      </c>
      <c r="I513" s="222">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9">
        <f t="shared" si="75"/>
        <v>18079.600000000006</v>
      </c>
    </row>
    <row r="514" spans="1:25" ht="131.25">
      <c r="A514" s="302"/>
      <c r="B514" s="295"/>
      <c r="C514" s="302"/>
      <c r="D514" s="297"/>
      <c r="E514" s="65" t="s">
        <v>859</v>
      </c>
      <c r="F514" s="105">
        <f>J514</f>
        <v>210225</v>
      </c>
      <c r="G514" s="114">
        <v>1</v>
      </c>
      <c r="H514" s="105">
        <f>J514</f>
        <v>210225</v>
      </c>
      <c r="I514" s="222">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f>
        <v>86508.8</v>
      </c>
      <c r="Y514" s="29">
        <f t="shared" si="75"/>
        <v>123716.2</v>
      </c>
    </row>
    <row r="515" spans="1:25" ht="136.5" customHeight="1">
      <c r="A515" s="302"/>
      <c r="B515" s="296"/>
      <c r="C515" s="302"/>
      <c r="D515" s="297"/>
      <c r="E515" s="65" t="s">
        <v>1233</v>
      </c>
      <c r="F515" s="105">
        <f>J515</f>
        <v>320000</v>
      </c>
      <c r="G515" s="114">
        <v>1</v>
      </c>
      <c r="H515" s="105">
        <f>J515</f>
        <v>320000</v>
      </c>
      <c r="I515" s="222">
        <v>3132</v>
      </c>
      <c r="J515" s="54">
        <v>320000</v>
      </c>
      <c r="K515" s="29"/>
      <c r="L515" s="29"/>
      <c r="M515" s="29"/>
      <c r="N515" s="29"/>
      <c r="O515" s="29"/>
      <c r="P515" s="29"/>
      <c r="Q515" s="29">
        <v>194000</v>
      </c>
      <c r="R515" s="29">
        <v>126000</v>
      </c>
      <c r="S515" s="29"/>
      <c r="T515" s="29"/>
      <c r="U515" s="29"/>
      <c r="V515" s="29"/>
      <c r="W515" s="29">
        <f t="shared" si="78"/>
        <v>0</v>
      </c>
      <c r="X515" s="29"/>
      <c r="Y515" s="29">
        <f t="shared" si="75"/>
        <v>320000</v>
      </c>
    </row>
    <row r="516" spans="1:25" ht="409.5">
      <c r="A516" s="44" t="s">
        <v>266</v>
      </c>
      <c r="B516" s="56" t="s">
        <v>267</v>
      </c>
      <c r="C516" s="44" t="s">
        <v>8</v>
      </c>
      <c r="D516" s="275" t="s">
        <v>140</v>
      </c>
      <c r="E516" s="86" t="s">
        <v>426</v>
      </c>
      <c r="F516" s="105">
        <f>J516</f>
        <v>3439172</v>
      </c>
      <c r="G516" s="114"/>
      <c r="H516" s="105">
        <f>J516</f>
        <v>3439172</v>
      </c>
      <c r="I516" s="222">
        <v>3240</v>
      </c>
      <c r="J516" s="54">
        <v>3439172</v>
      </c>
      <c r="K516" s="29"/>
      <c r="L516" s="29"/>
      <c r="M516" s="29"/>
      <c r="N516" s="29"/>
      <c r="O516" s="29"/>
      <c r="P516" s="29">
        <v>429894</v>
      </c>
      <c r="Q516" s="29">
        <v>458930</v>
      </c>
      <c r="R516" s="29">
        <v>1649000</v>
      </c>
      <c r="S516" s="29">
        <v>901348</v>
      </c>
      <c r="T516" s="31"/>
      <c r="U516" s="31"/>
      <c r="V516" s="31"/>
      <c r="W516" s="29">
        <f t="shared" si="78"/>
        <v>0</v>
      </c>
      <c r="X516" s="29">
        <f>888824+1649000+901348</f>
        <v>3439172</v>
      </c>
      <c r="Y516" s="29">
        <f t="shared" si="75"/>
        <v>0</v>
      </c>
    </row>
    <row r="517" spans="1:25" ht="37.5">
      <c r="A517" s="96" t="s">
        <v>316</v>
      </c>
      <c r="B517" s="68"/>
      <c r="C517" s="68"/>
      <c r="D517" s="69" t="s">
        <v>86</v>
      </c>
      <c r="E517" s="62"/>
      <c r="F517" s="62"/>
      <c r="G517" s="62"/>
      <c r="H517" s="62"/>
      <c r="I517" s="259"/>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9">
        <f t="shared" si="75"/>
        <v>105000</v>
      </c>
    </row>
    <row r="518" spans="1:25" ht="37.5">
      <c r="A518" s="96" t="s">
        <v>87</v>
      </c>
      <c r="B518" s="68"/>
      <c r="C518" s="68"/>
      <c r="D518" s="69" t="s">
        <v>86</v>
      </c>
      <c r="E518" s="62"/>
      <c r="F518" s="62"/>
      <c r="G518" s="62"/>
      <c r="H518" s="62"/>
      <c r="I518" s="259"/>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9">
        <f t="shared" si="75"/>
        <v>105000</v>
      </c>
    </row>
    <row r="519" spans="1:25" ht="18.75">
      <c r="A519" s="302" t="s">
        <v>88</v>
      </c>
      <c r="B519" s="294" t="s">
        <v>80</v>
      </c>
      <c r="C519" s="302" t="s">
        <v>79</v>
      </c>
      <c r="D519" s="297" t="s">
        <v>72</v>
      </c>
      <c r="E519" s="65"/>
      <c r="F519" s="65"/>
      <c r="G519" s="65"/>
      <c r="H519" s="65"/>
      <c r="I519" s="255"/>
      <c r="J519" s="60">
        <f>J520</f>
        <v>105000</v>
      </c>
      <c r="K519" s="60">
        <f aca="true" t="shared" si="81" ref="K519:X519">K520</f>
        <v>0</v>
      </c>
      <c r="L519" s="60">
        <f t="shared" si="81"/>
        <v>0</v>
      </c>
      <c r="M519" s="60">
        <f t="shared" si="81"/>
        <v>0</v>
      </c>
      <c r="N519" s="60">
        <f t="shared" si="81"/>
        <v>15000</v>
      </c>
      <c r="O519" s="60">
        <f t="shared" si="81"/>
        <v>15000</v>
      </c>
      <c r="P519" s="60">
        <f t="shared" si="81"/>
        <v>25000</v>
      </c>
      <c r="Q519" s="60">
        <f t="shared" si="81"/>
        <v>0</v>
      </c>
      <c r="R519" s="60">
        <f t="shared" si="81"/>
        <v>30000</v>
      </c>
      <c r="S519" s="60">
        <f t="shared" si="81"/>
        <v>20000</v>
      </c>
      <c r="T519" s="60">
        <f t="shared" si="81"/>
        <v>0</v>
      </c>
      <c r="U519" s="60">
        <f t="shared" si="81"/>
        <v>0</v>
      </c>
      <c r="V519" s="60">
        <f t="shared" si="81"/>
        <v>0</v>
      </c>
      <c r="W519" s="60">
        <f t="shared" si="81"/>
        <v>0</v>
      </c>
      <c r="X519" s="60">
        <f t="shared" si="81"/>
        <v>0</v>
      </c>
      <c r="Y519" s="29">
        <f t="shared" si="75"/>
        <v>105000</v>
      </c>
    </row>
    <row r="520" spans="1:25" ht="78.75" customHeight="1">
      <c r="A520" s="302"/>
      <c r="B520" s="296"/>
      <c r="C520" s="302"/>
      <c r="D520" s="297"/>
      <c r="E520" s="65" t="s">
        <v>206</v>
      </c>
      <c r="F520" s="65"/>
      <c r="G520" s="65"/>
      <c r="H520" s="65"/>
      <c r="I520" s="255">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9">
        <f t="shared" si="75"/>
        <v>105000</v>
      </c>
    </row>
    <row r="521" spans="1:25" ht="43.5" customHeight="1">
      <c r="A521" s="18" t="s">
        <v>218</v>
      </c>
      <c r="B521" s="127"/>
      <c r="C521" s="37"/>
      <c r="D521" s="128" t="s">
        <v>1179</v>
      </c>
      <c r="E521" s="129"/>
      <c r="F521" s="130"/>
      <c r="G521" s="131"/>
      <c r="H521" s="130"/>
      <c r="I521" s="232"/>
      <c r="J521" s="35">
        <f>J522</f>
        <v>230877907.57</v>
      </c>
      <c r="K521" s="35">
        <f aca="true" t="shared" si="82" ref="K521:X521">K522</f>
        <v>0</v>
      </c>
      <c r="L521" s="35">
        <f t="shared" si="82"/>
        <v>3674742</v>
      </c>
      <c r="M521" s="35">
        <f t="shared" si="82"/>
        <v>36633535.120000005</v>
      </c>
      <c r="N521" s="35">
        <f t="shared" si="82"/>
        <v>22784352</v>
      </c>
      <c r="O521" s="35">
        <f t="shared" si="82"/>
        <v>3604786</v>
      </c>
      <c r="P521" s="35">
        <f t="shared" si="82"/>
        <v>12756346.11</v>
      </c>
      <c r="Q521" s="35">
        <f t="shared" si="82"/>
        <v>25636002.79</v>
      </c>
      <c r="R521" s="35">
        <f t="shared" si="82"/>
        <v>27860119.1</v>
      </c>
      <c r="S521" s="35">
        <f t="shared" si="82"/>
        <v>15166620.760000002</v>
      </c>
      <c r="T521" s="35">
        <f t="shared" si="82"/>
        <v>22858054.86</v>
      </c>
      <c r="U521" s="35">
        <f t="shared" si="82"/>
        <v>24374116.130000003</v>
      </c>
      <c r="V521" s="35">
        <f t="shared" si="82"/>
        <v>35529232.7</v>
      </c>
      <c r="W521" s="35">
        <f t="shared" si="82"/>
        <v>5.911715561524034E-11</v>
      </c>
      <c r="X521" s="35">
        <f t="shared" si="82"/>
        <v>122118100.85</v>
      </c>
      <c r="Y521" s="29">
        <f t="shared" si="75"/>
        <v>48856457.890000015</v>
      </c>
    </row>
    <row r="522" spans="1:25" ht="44.25" customHeight="1">
      <c r="A522" s="18" t="s">
        <v>219</v>
      </c>
      <c r="B522" s="127"/>
      <c r="C522" s="132"/>
      <c r="D522" s="128" t="s">
        <v>1179</v>
      </c>
      <c r="E522" s="129"/>
      <c r="F522" s="130"/>
      <c r="G522" s="131"/>
      <c r="H522" s="130"/>
      <c r="I522" s="232"/>
      <c r="J522" s="35">
        <f aca="true" t="shared" si="83" ref="J522:X522">J523+J588+J590+J664+J667+J800+J1004+J1006</f>
        <v>230877907.57</v>
      </c>
      <c r="K522" s="35">
        <f t="shared" si="83"/>
        <v>0</v>
      </c>
      <c r="L522" s="35">
        <f t="shared" si="83"/>
        <v>3674742</v>
      </c>
      <c r="M522" s="35">
        <f t="shared" si="83"/>
        <v>36633535.120000005</v>
      </c>
      <c r="N522" s="35">
        <f t="shared" si="83"/>
        <v>22784352</v>
      </c>
      <c r="O522" s="35">
        <f t="shared" si="83"/>
        <v>3604786</v>
      </c>
      <c r="P522" s="35">
        <f t="shared" si="83"/>
        <v>12756346.11</v>
      </c>
      <c r="Q522" s="35">
        <f t="shared" si="83"/>
        <v>25636002.79</v>
      </c>
      <c r="R522" s="35">
        <f t="shared" si="83"/>
        <v>27860119.1</v>
      </c>
      <c r="S522" s="35">
        <f t="shared" si="83"/>
        <v>15166620.760000002</v>
      </c>
      <c r="T522" s="35">
        <f t="shared" si="83"/>
        <v>22858054.86</v>
      </c>
      <c r="U522" s="35">
        <f t="shared" si="83"/>
        <v>24374116.130000003</v>
      </c>
      <c r="V522" s="35">
        <f t="shared" si="83"/>
        <v>35529232.7</v>
      </c>
      <c r="W522" s="35">
        <f t="shared" si="83"/>
        <v>5.911715561524034E-11</v>
      </c>
      <c r="X522" s="35">
        <f t="shared" si="83"/>
        <v>122118100.85</v>
      </c>
      <c r="Y522" s="29">
        <f t="shared" si="75"/>
        <v>48856457.890000015</v>
      </c>
    </row>
    <row r="523" spans="1:25" ht="18.75" customHeight="1">
      <c r="A523" s="294" t="s">
        <v>1094</v>
      </c>
      <c r="B523" s="294" t="s">
        <v>1093</v>
      </c>
      <c r="C523" s="294" t="s">
        <v>1020</v>
      </c>
      <c r="D523" s="283" t="s">
        <v>1092</v>
      </c>
      <c r="E523" s="65"/>
      <c r="F523" s="65"/>
      <c r="G523" s="65"/>
      <c r="H523" s="65"/>
      <c r="I523" s="255"/>
      <c r="J523" s="31">
        <f>SUM(J524:J587)</f>
        <v>19191490.28</v>
      </c>
      <c r="K523" s="31">
        <f aca="true" t="shared" si="84" ref="K523:V523">SUM(K524:K587)</f>
        <v>0</v>
      </c>
      <c r="L523" s="31">
        <f t="shared" si="84"/>
        <v>0</v>
      </c>
      <c r="M523" s="31">
        <f t="shared" si="84"/>
        <v>1031395.12</v>
      </c>
      <c r="N523" s="31">
        <f t="shared" si="84"/>
        <v>550000</v>
      </c>
      <c r="O523" s="31">
        <f t="shared" si="84"/>
        <v>833570</v>
      </c>
      <c r="P523" s="31">
        <f t="shared" si="84"/>
        <v>259500</v>
      </c>
      <c r="Q523" s="31">
        <f t="shared" si="84"/>
        <v>3846093.67</v>
      </c>
      <c r="R523" s="31">
        <f t="shared" si="84"/>
        <v>62194.71999999997</v>
      </c>
      <c r="S523" s="31">
        <f t="shared" si="84"/>
        <v>3413656</v>
      </c>
      <c r="T523" s="31">
        <f t="shared" si="84"/>
        <v>2097134.7699999998</v>
      </c>
      <c r="U523" s="31">
        <f t="shared" si="84"/>
        <v>2384742.4299999997</v>
      </c>
      <c r="V523" s="31">
        <f t="shared" si="84"/>
        <v>4713203.57</v>
      </c>
      <c r="W523" s="31">
        <f>SUM(W524:W587)</f>
        <v>5.093170329928398E-11</v>
      </c>
      <c r="X523" s="31">
        <f>SUM(X524:X587)</f>
        <v>5721253.089999998</v>
      </c>
      <c r="Y523" s="29">
        <f t="shared" si="75"/>
        <v>6372291.190000001</v>
      </c>
    </row>
    <row r="524" spans="1:25" ht="135.75" customHeight="1">
      <c r="A524" s="295"/>
      <c r="B524" s="295"/>
      <c r="C524" s="295"/>
      <c r="D524" s="284"/>
      <c r="E524" s="61" t="s">
        <v>603</v>
      </c>
      <c r="F524" s="105">
        <f>J524</f>
        <v>7809864.48</v>
      </c>
      <c r="G524" s="114">
        <v>1</v>
      </c>
      <c r="H524" s="105">
        <f aca="true" t="shared" si="85" ref="H524:H625">J524</f>
        <v>7809864.48</v>
      </c>
      <c r="I524" s="222">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f>
        <v>0</v>
      </c>
      <c r="V524" s="182">
        <f>530000+45000-575000+3871023.08</f>
        <v>3871023.08</v>
      </c>
      <c r="W524" s="29">
        <f t="shared" si="78"/>
        <v>0</v>
      </c>
      <c r="X524" s="29">
        <f>200937.6+366000+257196+363000+10861+273900+91268.4+179102.4+12734+701400+57477.6+157200+93441.6+55716+238520+94200+130467.6+7785+153000+140100+84000+81489.6+76836.8</f>
        <v>3826633.6</v>
      </c>
      <c r="Y524" s="29">
        <f t="shared" si="75"/>
        <v>112207.79999999981</v>
      </c>
    </row>
    <row r="525" spans="1:25" ht="36" hidden="1">
      <c r="A525" s="295"/>
      <c r="B525" s="295"/>
      <c r="C525" s="295"/>
      <c r="D525" s="284"/>
      <c r="E525" s="28" t="s">
        <v>625</v>
      </c>
      <c r="F525" s="105">
        <f aca="true" t="shared" si="86" ref="F525:F587">J525</f>
        <v>0</v>
      </c>
      <c r="G525" s="114">
        <v>1</v>
      </c>
      <c r="H525" s="105">
        <f t="shared" si="85"/>
        <v>0</v>
      </c>
      <c r="I525" s="222">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9">
        <f t="shared" si="75"/>
        <v>0</v>
      </c>
    </row>
    <row r="526" spans="1:25" ht="36" hidden="1">
      <c r="A526" s="295"/>
      <c r="B526" s="295"/>
      <c r="C526" s="295"/>
      <c r="D526" s="284"/>
      <c r="E526" s="28" t="s">
        <v>1061</v>
      </c>
      <c r="F526" s="105">
        <f t="shared" si="86"/>
        <v>0</v>
      </c>
      <c r="G526" s="114">
        <v>1</v>
      </c>
      <c r="H526" s="105">
        <f t="shared" si="85"/>
        <v>0</v>
      </c>
      <c r="I526" s="222">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9">
        <f t="shared" si="75"/>
        <v>0</v>
      </c>
    </row>
    <row r="527" spans="1:25" ht="56.25">
      <c r="A527" s="295"/>
      <c r="B527" s="295"/>
      <c r="C527" s="295"/>
      <c r="D527" s="284"/>
      <c r="E527" s="28" t="s">
        <v>156</v>
      </c>
      <c r="F527" s="105"/>
      <c r="G527" s="114"/>
      <c r="H527" s="105"/>
      <c r="I527" s="222">
        <v>3131</v>
      </c>
      <c r="J527" s="47">
        <f>523000+400000</f>
        <v>923000</v>
      </c>
      <c r="K527" s="182"/>
      <c r="L527" s="182"/>
      <c r="M527" s="182"/>
      <c r="N527" s="182"/>
      <c r="O527" s="182"/>
      <c r="P527" s="182"/>
      <c r="Q527" s="182"/>
      <c r="R527" s="182">
        <f>48000+40000</f>
        <v>88000</v>
      </c>
      <c r="S527" s="182">
        <v>160000</v>
      </c>
      <c r="T527" s="182">
        <f>523000-48000+200000-254755.41</f>
        <v>420244.58999999997</v>
      </c>
      <c r="U527" s="182">
        <v>254755.41</v>
      </c>
      <c r="V527" s="182"/>
      <c r="W527" s="29">
        <f>J527-K527-L527-M527-N527-O527-P527-Q527-R527-S527-T527-U527-V527</f>
        <v>2.9103830456733704E-11</v>
      </c>
      <c r="X527" s="29"/>
      <c r="Y527" s="29">
        <f t="shared" si="75"/>
        <v>668244.59</v>
      </c>
    </row>
    <row r="528" spans="1:25" ht="56.25">
      <c r="A528" s="295"/>
      <c r="B528" s="295"/>
      <c r="C528" s="295"/>
      <c r="D528" s="284"/>
      <c r="E528" s="281" t="s">
        <v>1001</v>
      </c>
      <c r="F528" s="105"/>
      <c r="G528" s="114"/>
      <c r="H528" s="105"/>
      <c r="I528" s="222">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9">
        <f t="shared" si="75"/>
        <v>130840</v>
      </c>
    </row>
    <row r="529" spans="1:25" ht="56.25">
      <c r="A529" s="295"/>
      <c r="B529" s="295"/>
      <c r="C529" s="295"/>
      <c r="D529" s="284"/>
      <c r="E529" s="281" t="s">
        <v>1002</v>
      </c>
      <c r="F529" s="105"/>
      <c r="G529" s="114"/>
      <c r="H529" s="105"/>
      <c r="I529" s="222">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9">
        <f t="shared" si="75"/>
        <v>79840</v>
      </c>
    </row>
    <row r="530" spans="1:25" ht="56.25">
      <c r="A530" s="295"/>
      <c r="B530" s="295"/>
      <c r="C530" s="295"/>
      <c r="D530" s="284"/>
      <c r="E530" s="281" t="s">
        <v>627</v>
      </c>
      <c r="F530" s="105"/>
      <c r="G530" s="114"/>
      <c r="H530" s="105"/>
      <c r="I530" s="222">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9">
        <f t="shared" si="75"/>
        <v>89000</v>
      </c>
    </row>
    <row r="531" spans="1:25" ht="75">
      <c r="A531" s="295"/>
      <c r="B531" s="295"/>
      <c r="C531" s="295"/>
      <c r="D531" s="284"/>
      <c r="E531" s="72" t="s">
        <v>1003</v>
      </c>
      <c r="F531" s="105"/>
      <c r="G531" s="114"/>
      <c r="H531" s="105"/>
      <c r="I531" s="222">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9">
        <f t="shared" si="75"/>
        <v>105760</v>
      </c>
    </row>
    <row r="532" spans="1:25" ht="56.25">
      <c r="A532" s="295"/>
      <c r="B532" s="295"/>
      <c r="C532" s="295"/>
      <c r="D532" s="284"/>
      <c r="E532" s="28" t="s">
        <v>287</v>
      </c>
      <c r="F532" s="105"/>
      <c r="G532" s="114"/>
      <c r="H532" s="105"/>
      <c r="I532" s="222">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9">
        <f t="shared" si="75"/>
        <v>0</v>
      </c>
    </row>
    <row r="533" spans="1:25" ht="56.25">
      <c r="A533" s="295"/>
      <c r="B533" s="295"/>
      <c r="C533" s="295"/>
      <c r="D533" s="284"/>
      <c r="E533" s="28" t="s">
        <v>288</v>
      </c>
      <c r="F533" s="105"/>
      <c r="G533" s="114"/>
      <c r="H533" s="105"/>
      <c r="I533" s="222">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9">
        <f t="shared" si="75"/>
        <v>0</v>
      </c>
    </row>
    <row r="534" spans="1:25" ht="56.25">
      <c r="A534" s="295"/>
      <c r="B534" s="295"/>
      <c r="C534" s="295"/>
      <c r="D534" s="284"/>
      <c r="E534" s="28" t="s">
        <v>43</v>
      </c>
      <c r="F534" s="105">
        <f t="shared" si="86"/>
        <v>106000</v>
      </c>
      <c r="G534" s="114">
        <v>1</v>
      </c>
      <c r="H534" s="105">
        <f t="shared" si="85"/>
        <v>106000</v>
      </c>
      <c r="I534" s="222">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6999.8+48399</f>
        <v>55398.8</v>
      </c>
      <c r="Y534" s="29">
        <f t="shared" si="75"/>
        <v>50601.2</v>
      </c>
    </row>
    <row r="535" spans="1:25" ht="56.25">
      <c r="A535" s="295"/>
      <c r="B535" s="295"/>
      <c r="C535" s="295"/>
      <c r="D535" s="284"/>
      <c r="E535" s="28" t="s">
        <v>44</v>
      </c>
      <c r="F535" s="105">
        <f t="shared" si="86"/>
        <v>72000</v>
      </c>
      <c r="G535" s="114">
        <v>1</v>
      </c>
      <c r="H535" s="105">
        <f t="shared" si="85"/>
        <v>72000</v>
      </c>
      <c r="I535" s="222">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9">
        <f t="shared" si="75"/>
        <v>43428.2</v>
      </c>
    </row>
    <row r="536" spans="1:25" ht="56.25">
      <c r="A536" s="295"/>
      <c r="B536" s="295"/>
      <c r="C536" s="295"/>
      <c r="D536" s="284"/>
      <c r="E536" s="28" t="s">
        <v>45</v>
      </c>
      <c r="F536" s="105">
        <f t="shared" si="86"/>
        <v>72000</v>
      </c>
      <c r="G536" s="114">
        <v>1</v>
      </c>
      <c r="H536" s="105">
        <f t="shared" si="85"/>
        <v>72000</v>
      </c>
      <c r="I536" s="222">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9">
        <f t="shared" si="75"/>
        <v>43428.2</v>
      </c>
    </row>
    <row r="537" spans="1:25" ht="36" hidden="1">
      <c r="A537" s="295"/>
      <c r="B537" s="295"/>
      <c r="C537" s="295"/>
      <c r="D537" s="284"/>
      <c r="E537" s="28" t="s">
        <v>372</v>
      </c>
      <c r="F537" s="105">
        <f t="shared" si="86"/>
        <v>0</v>
      </c>
      <c r="G537" s="114">
        <v>1</v>
      </c>
      <c r="H537" s="105">
        <f t="shared" si="85"/>
        <v>0</v>
      </c>
      <c r="I537" s="222">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9">
        <f t="shared" si="75"/>
        <v>0</v>
      </c>
    </row>
    <row r="538" spans="1:25" ht="56.25">
      <c r="A538" s="295"/>
      <c r="B538" s="295"/>
      <c r="C538" s="295"/>
      <c r="D538" s="284"/>
      <c r="E538" s="28" t="s">
        <v>503</v>
      </c>
      <c r="F538" s="105">
        <f t="shared" si="86"/>
        <v>114000</v>
      </c>
      <c r="G538" s="114">
        <v>1</v>
      </c>
      <c r="H538" s="105">
        <f t="shared" si="85"/>
        <v>114000</v>
      </c>
      <c r="I538" s="222">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9">
        <f t="shared" si="75"/>
        <v>65620.2</v>
      </c>
    </row>
    <row r="539" spans="1:25" ht="56.25">
      <c r="A539" s="295"/>
      <c r="B539" s="295"/>
      <c r="C539" s="295"/>
      <c r="D539" s="284"/>
      <c r="E539" s="28" t="s">
        <v>188</v>
      </c>
      <c r="F539" s="105">
        <f t="shared" si="86"/>
        <v>72000</v>
      </c>
      <c r="G539" s="114">
        <v>1</v>
      </c>
      <c r="H539" s="105">
        <f t="shared" si="85"/>
        <v>72000</v>
      </c>
      <c r="I539" s="222">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5999.8+31092</f>
        <v>37091.8</v>
      </c>
      <c r="Y539" s="29">
        <f t="shared" si="75"/>
        <v>34908.2</v>
      </c>
    </row>
    <row r="540" spans="1:25" ht="56.25">
      <c r="A540" s="295"/>
      <c r="B540" s="295"/>
      <c r="C540" s="295"/>
      <c r="D540" s="284"/>
      <c r="E540" s="28" t="s">
        <v>332</v>
      </c>
      <c r="F540" s="105">
        <f t="shared" si="86"/>
        <v>72000</v>
      </c>
      <c r="G540" s="114">
        <v>1</v>
      </c>
      <c r="H540" s="105">
        <f t="shared" si="85"/>
        <v>72000</v>
      </c>
      <c r="I540" s="222">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9">
        <f t="shared" si="75"/>
        <v>43428.2</v>
      </c>
    </row>
    <row r="541" spans="1:25" ht="56.25">
      <c r="A541" s="295"/>
      <c r="B541" s="295"/>
      <c r="C541" s="295"/>
      <c r="D541" s="284"/>
      <c r="E541" s="28" t="s">
        <v>333</v>
      </c>
      <c r="F541" s="105">
        <f t="shared" si="86"/>
        <v>164000</v>
      </c>
      <c r="G541" s="114">
        <v>1</v>
      </c>
      <c r="H541" s="105">
        <f t="shared" si="85"/>
        <v>164000</v>
      </c>
      <c r="I541" s="222">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f>10499.8+75092</f>
        <v>85591.8</v>
      </c>
      <c r="Y541" s="29">
        <f t="shared" si="75"/>
        <v>78408.2</v>
      </c>
    </row>
    <row r="542" spans="1:25" ht="56.25">
      <c r="A542" s="295"/>
      <c r="B542" s="295"/>
      <c r="C542" s="295"/>
      <c r="D542" s="284"/>
      <c r="E542" s="28" t="s">
        <v>334</v>
      </c>
      <c r="F542" s="105">
        <f t="shared" si="86"/>
        <v>105000</v>
      </c>
      <c r="G542" s="114">
        <v>1</v>
      </c>
      <c r="H542" s="105">
        <f t="shared" si="85"/>
        <v>105000</v>
      </c>
      <c r="I542" s="222">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f>7499.8+47475</f>
        <v>54974.8</v>
      </c>
      <c r="Y542" s="29">
        <f t="shared" si="75"/>
        <v>50025.2</v>
      </c>
    </row>
    <row r="543" spans="1:25" ht="56.25">
      <c r="A543" s="295"/>
      <c r="B543" s="295"/>
      <c r="C543" s="295"/>
      <c r="D543" s="284"/>
      <c r="E543" s="28" t="s">
        <v>344</v>
      </c>
      <c r="F543" s="105"/>
      <c r="G543" s="114"/>
      <c r="H543" s="105"/>
      <c r="I543" s="222">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f>3999.8+17354</f>
        <v>21353.8</v>
      </c>
      <c r="Y543" s="29">
        <f t="shared" si="75"/>
        <v>18646.2</v>
      </c>
    </row>
    <row r="544" spans="1:25" ht="56.25">
      <c r="A544" s="295"/>
      <c r="B544" s="295"/>
      <c r="C544" s="295"/>
      <c r="D544" s="284"/>
      <c r="E544" s="28" t="s">
        <v>585</v>
      </c>
      <c r="F544" s="105"/>
      <c r="G544" s="114"/>
      <c r="H544" s="105"/>
      <c r="I544" s="222">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9">
        <f t="shared" si="75"/>
        <v>50000</v>
      </c>
    </row>
    <row r="545" spans="1:25" ht="56.25">
      <c r="A545" s="295"/>
      <c r="B545" s="295"/>
      <c r="C545" s="295"/>
      <c r="D545" s="284"/>
      <c r="E545" s="28" t="s">
        <v>461</v>
      </c>
      <c r="F545" s="105">
        <f t="shared" si="86"/>
        <v>72000</v>
      </c>
      <c r="G545" s="114">
        <v>1</v>
      </c>
      <c r="H545" s="105">
        <f t="shared" si="85"/>
        <v>72000</v>
      </c>
      <c r="I545" s="222">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9">
        <f t="shared" si="75"/>
        <v>43428.2</v>
      </c>
    </row>
    <row r="546" spans="1:25" ht="56.25">
      <c r="A546" s="295"/>
      <c r="B546" s="295"/>
      <c r="C546" s="295"/>
      <c r="D546" s="284"/>
      <c r="E546" s="28" t="s">
        <v>730</v>
      </c>
      <c r="F546" s="105">
        <f t="shared" si="86"/>
        <v>72000</v>
      </c>
      <c r="G546" s="114">
        <v>1</v>
      </c>
      <c r="H546" s="105">
        <f t="shared" si="85"/>
        <v>72000</v>
      </c>
      <c r="I546" s="222">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9">
        <f t="shared" si="75"/>
        <v>43428.2</v>
      </c>
    </row>
    <row r="547" spans="1:25" ht="56.25">
      <c r="A547" s="295"/>
      <c r="B547" s="295"/>
      <c r="C547" s="295"/>
      <c r="D547" s="284"/>
      <c r="E547" s="74" t="s">
        <v>345</v>
      </c>
      <c r="F547" s="105"/>
      <c r="G547" s="114"/>
      <c r="H547" s="105"/>
      <c r="I547" s="222">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f>7999.8+50602</f>
        <v>58601.8</v>
      </c>
      <c r="Y547" s="29">
        <f t="shared" si="75"/>
        <v>53398.2</v>
      </c>
    </row>
    <row r="548" spans="1:25" ht="75">
      <c r="A548" s="295"/>
      <c r="B548" s="295"/>
      <c r="C548" s="295"/>
      <c r="D548" s="284"/>
      <c r="E548" s="72" t="s">
        <v>207</v>
      </c>
      <c r="F548" s="105">
        <f t="shared" si="86"/>
        <v>42000</v>
      </c>
      <c r="G548" s="114">
        <v>1</v>
      </c>
      <c r="H548" s="105">
        <f t="shared" si="85"/>
        <v>42000</v>
      </c>
      <c r="I548" s="222">
        <v>3131</v>
      </c>
      <c r="J548" s="47">
        <v>42000</v>
      </c>
      <c r="K548" s="182"/>
      <c r="L548" s="182"/>
      <c r="M548" s="182"/>
      <c r="N548" s="182"/>
      <c r="O548" s="182"/>
      <c r="P548" s="182"/>
      <c r="Q548" s="182"/>
      <c r="R548" s="182">
        <v>4200</v>
      </c>
      <c r="S548" s="182">
        <v>25200</v>
      </c>
      <c r="T548" s="182">
        <v>12600</v>
      </c>
      <c r="U548" s="182"/>
      <c r="V548" s="182"/>
      <c r="W548" s="29">
        <f t="shared" si="78"/>
        <v>0</v>
      </c>
      <c r="X548" s="29"/>
      <c r="Y548" s="29">
        <f t="shared" si="75"/>
        <v>42000</v>
      </c>
    </row>
    <row r="549" spans="1:25" ht="56.25">
      <c r="A549" s="295"/>
      <c r="B549" s="295"/>
      <c r="C549" s="295"/>
      <c r="D549" s="284"/>
      <c r="E549" s="72" t="s">
        <v>1004</v>
      </c>
      <c r="F549" s="105"/>
      <c r="G549" s="114"/>
      <c r="H549" s="105"/>
      <c r="I549" s="222">
        <v>3131</v>
      </c>
      <c r="J549" s="47">
        <v>92000</v>
      </c>
      <c r="K549" s="182"/>
      <c r="L549" s="182"/>
      <c r="M549" s="182"/>
      <c r="N549" s="182"/>
      <c r="O549" s="182"/>
      <c r="P549" s="182"/>
      <c r="Q549" s="182"/>
      <c r="R549" s="182"/>
      <c r="S549" s="182"/>
      <c r="T549" s="182">
        <v>85840</v>
      </c>
      <c r="U549" s="182">
        <v>6160</v>
      </c>
      <c r="V549" s="182"/>
      <c r="W549" s="29">
        <f t="shared" si="78"/>
        <v>0</v>
      </c>
      <c r="X549" s="29"/>
      <c r="Y549" s="29">
        <f t="shared" si="75"/>
        <v>85840</v>
      </c>
    </row>
    <row r="550" spans="1:25" ht="75">
      <c r="A550" s="295"/>
      <c r="B550" s="295"/>
      <c r="C550" s="295"/>
      <c r="D550" s="284"/>
      <c r="E550" s="28" t="s">
        <v>1005</v>
      </c>
      <c r="F550" s="105"/>
      <c r="G550" s="114"/>
      <c r="H550" s="105"/>
      <c r="I550" s="222">
        <v>3131</v>
      </c>
      <c r="J550" s="47">
        <v>92000</v>
      </c>
      <c r="K550" s="182"/>
      <c r="L550" s="182"/>
      <c r="M550" s="182"/>
      <c r="N550" s="182"/>
      <c r="O550" s="182"/>
      <c r="P550" s="182"/>
      <c r="Q550" s="182"/>
      <c r="R550" s="182"/>
      <c r="S550" s="182"/>
      <c r="T550" s="182">
        <v>85760</v>
      </c>
      <c r="U550" s="182">
        <v>6240</v>
      </c>
      <c r="V550" s="182"/>
      <c r="W550" s="29">
        <f t="shared" si="78"/>
        <v>0</v>
      </c>
      <c r="X550" s="29"/>
      <c r="Y550" s="29">
        <f t="shared" si="75"/>
        <v>85760</v>
      </c>
    </row>
    <row r="551" spans="1:25" ht="56.25">
      <c r="A551" s="295"/>
      <c r="B551" s="295"/>
      <c r="C551" s="295"/>
      <c r="D551" s="284"/>
      <c r="E551" s="81" t="s">
        <v>352</v>
      </c>
      <c r="F551" s="105"/>
      <c r="G551" s="114"/>
      <c r="H551" s="105"/>
      <c r="I551" s="222">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7" ref="W551:W558">J551-K551-L551-M551-N551-O551-P551-Q551-R551-S551-T551-U551-V551</f>
        <v>0</v>
      </c>
      <c r="X551" s="29">
        <f>6699.6</f>
        <v>6699.6</v>
      </c>
      <c r="Y551" s="29">
        <f t="shared" si="75"/>
        <v>231300.4</v>
      </c>
    </row>
    <row r="552" spans="1:25" ht="56.25">
      <c r="A552" s="295"/>
      <c r="B552" s="295"/>
      <c r="C552" s="295"/>
      <c r="D552" s="284"/>
      <c r="E552" s="81" t="s">
        <v>353</v>
      </c>
      <c r="F552" s="105"/>
      <c r="G552" s="114"/>
      <c r="H552" s="105"/>
      <c r="I552" s="222">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7"/>
        <v>0</v>
      </c>
      <c r="X552" s="29">
        <f>6699.6</f>
        <v>6699.6</v>
      </c>
      <c r="Y552" s="29">
        <f t="shared" si="75"/>
        <v>231300.4</v>
      </c>
    </row>
    <row r="553" spans="1:25" ht="56.25">
      <c r="A553" s="295"/>
      <c r="B553" s="295"/>
      <c r="C553" s="295"/>
      <c r="D553" s="284"/>
      <c r="E553" s="81" t="s">
        <v>871</v>
      </c>
      <c r="F553" s="105"/>
      <c r="G553" s="114"/>
      <c r="H553" s="105"/>
      <c r="I553" s="222">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7"/>
        <v>0</v>
      </c>
      <c r="X553" s="29">
        <f>4299.6</f>
        <v>4299.6</v>
      </c>
      <c r="Y553" s="29">
        <f t="shared" si="75"/>
        <v>193140.4</v>
      </c>
    </row>
    <row r="554" spans="1:25" ht="56.25">
      <c r="A554" s="295"/>
      <c r="B554" s="295"/>
      <c r="C554" s="295"/>
      <c r="D554" s="284"/>
      <c r="E554" s="81" t="s">
        <v>553</v>
      </c>
      <c r="F554" s="105"/>
      <c r="G554" s="114"/>
      <c r="H554" s="105"/>
      <c r="I554" s="222">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7"/>
        <v>0</v>
      </c>
      <c r="X554" s="29">
        <f>4299.6</f>
        <v>4299.6</v>
      </c>
      <c r="Y554" s="29">
        <f t="shared" si="75"/>
        <v>211700.4</v>
      </c>
    </row>
    <row r="555" spans="1:25" ht="56.25">
      <c r="A555" s="295"/>
      <c r="B555" s="295"/>
      <c r="C555" s="295"/>
      <c r="D555" s="284"/>
      <c r="E555" s="81" t="s">
        <v>809</v>
      </c>
      <c r="F555" s="105"/>
      <c r="G555" s="114"/>
      <c r="H555" s="105"/>
      <c r="I555" s="222">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7"/>
        <v>0</v>
      </c>
      <c r="X555" s="29">
        <f>4700</f>
        <v>4700</v>
      </c>
      <c r="Y555" s="29">
        <f t="shared" si="75"/>
        <v>116300</v>
      </c>
    </row>
    <row r="556" spans="1:25" ht="56.25">
      <c r="A556" s="295"/>
      <c r="B556" s="295"/>
      <c r="C556" s="295"/>
      <c r="D556" s="284"/>
      <c r="E556" s="81" t="s">
        <v>810</v>
      </c>
      <c r="F556" s="105"/>
      <c r="G556" s="114"/>
      <c r="H556" s="105"/>
      <c r="I556" s="222">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7"/>
        <v>0</v>
      </c>
      <c r="X556" s="29">
        <f>4950</f>
        <v>4950</v>
      </c>
      <c r="Y556" s="29">
        <f t="shared" si="75"/>
        <v>125050</v>
      </c>
    </row>
    <row r="557" spans="1:25" ht="56.25">
      <c r="A557" s="295"/>
      <c r="B557" s="295"/>
      <c r="C557" s="295"/>
      <c r="D557" s="284"/>
      <c r="E557" s="81" t="s">
        <v>811</v>
      </c>
      <c r="F557" s="105"/>
      <c r="G557" s="114"/>
      <c r="H557" s="105"/>
      <c r="I557" s="222">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7"/>
        <v>0</v>
      </c>
      <c r="X557" s="29">
        <f>2700</f>
        <v>2700</v>
      </c>
      <c r="Y557" s="29">
        <f t="shared" si="75"/>
        <v>47300</v>
      </c>
    </row>
    <row r="558" spans="1:25" ht="93.75">
      <c r="A558" s="295"/>
      <c r="B558" s="295"/>
      <c r="C558" s="295"/>
      <c r="D558" s="284"/>
      <c r="E558" s="72" t="s">
        <v>208</v>
      </c>
      <c r="F558" s="105">
        <f>J558</f>
        <v>30000</v>
      </c>
      <c r="G558" s="114">
        <v>1</v>
      </c>
      <c r="H558" s="105">
        <f>J558</f>
        <v>30000</v>
      </c>
      <c r="I558" s="222">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7"/>
        <v>0</v>
      </c>
      <c r="X558" s="29"/>
      <c r="Y558" s="29">
        <f>K558+L558+M558+N558+O558+P558+Q558+R558+S558+T558-X558</f>
        <v>30000</v>
      </c>
    </row>
    <row r="559" spans="1:25" ht="81.75" customHeight="1">
      <c r="A559" s="295"/>
      <c r="B559" s="295"/>
      <c r="C559" s="295"/>
      <c r="D559" s="284"/>
      <c r="E559" s="72" t="s">
        <v>604</v>
      </c>
      <c r="F559" s="105">
        <f t="shared" si="86"/>
        <v>0</v>
      </c>
      <c r="G559" s="114">
        <v>1</v>
      </c>
      <c r="H559" s="105">
        <f t="shared" si="85"/>
        <v>0</v>
      </c>
      <c r="I559" s="222">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9">
        <f t="shared" si="75"/>
        <v>0</v>
      </c>
    </row>
    <row r="560" spans="1:25" ht="93.75">
      <c r="A560" s="295"/>
      <c r="B560" s="295"/>
      <c r="C560" s="295"/>
      <c r="D560" s="284"/>
      <c r="E560" s="72" t="s">
        <v>255</v>
      </c>
      <c r="F560" s="105">
        <f t="shared" si="86"/>
        <v>50000</v>
      </c>
      <c r="G560" s="114">
        <v>1</v>
      </c>
      <c r="H560" s="105">
        <f t="shared" si="85"/>
        <v>50000</v>
      </c>
      <c r="I560" s="222">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9">
        <f t="shared" si="75"/>
        <v>50000</v>
      </c>
    </row>
    <row r="561" spans="1:25" ht="36" hidden="1">
      <c r="A561" s="295"/>
      <c r="B561" s="295"/>
      <c r="C561" s="295"/>
      <c r="D561" s="284"/>
      <c r="E561" s="72" t="s">
        <v>110</v>
      </c>
      <c r="F561" s="105">
        <f t="shared" si="86"/>
        <v>0</v>
      </c>
      <c r="G561" s="114">
        <v>1</v>
      </c>
      <c r="H561" s="105">
        <f t="shared" si="85"/>
        <v>0</v>
      </c>
      <c r="I561" s="222">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9">
        <f t="shared" si="75"/>
        <v>0</v>
      </c>
    </row>
    <row r="562" spans="1:25" ht="75">
      <c r="A562" s="295"/>
      <c r="B562" s="295"/>
      <c r="C562" s="295"/>
      <c r="D562" s="284"/>
      <c r="E562" s="72" t="s">
        <v>111</v>
      </c>
      <c r="F562" s="105">
        <f t="shared" si="86"/>
        <v>2193000</v>
      </c>
      <c r="G562" s="114">
        <v>1</v>
      </c>
      <c r="H562" s="105">
        <f t="shared" si="85"/>
        <v>2193000</v>
      </c>
      <c r="I562" s="222">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300000+145147.51+1864762-300000-406942.49</f>
        <v>1602967.0199999998</v>
      </c>
      <c r="V562" s="182">
        <f>135238+406942.49</f>
        <v>542180.49</v>
      </c>
      <c r="W562" s="29">
        <f t="shared" si="78"/>
        <v>0</v>
      </c>
      <c r="X562" s="29">
        <f>19998.84</f>
        <v>19998.84</v>
      </c>
      <c r="Y562" s="29">
        <f t="shared" si="75"/>
        <v>27853.649999999874</v>
      </c>
    </row>
    <row r="563" spans="1:25" ht="54" hidden="1">
      <c r="A563" s="295"/>
      <c r="B563" s="295"/>
      <c r="C563" s="295"/>
      <c r="D563" s="284"/>
      <c r="E563" s="72" t="s">
        <v>1034</v>
      </c>
      <c r="F563" s="105">
        <f t="shared" si="86"/>
        <v>0</v>
      </c>
      <c r="G563" s="114">
        <v>1</v>
      </c>
      <c r="H563" s="105">
        <f t="shared" si="85"/>
        <v>0</v>
      </c>
      <c r="I563" s="222">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9">
        <f t="shared" si="75"/>
        <v>0</v>
      </c>
    </row>
    <row r="564" spans="1:25" ht="54" hidden="1">
      <c r="A564" s="295"/>
      <c r="B564" s="295"/>
      <c r="C564" s="295"/>
      <c r="D564" s="284"/>
      <c r="E564" s="72" t="s">
        <v>1031</v>
      </c>
      <c r="F564" s="105">
        <f t="shared" si="86"/>
        <v>0</v>
      </c>
      <c r="G564" s="114">
        <v>1</v>
      </c>
      <c r="H564" s="105">
        <f t="shared" si="85"/>
        <v>0</v>
      </c>
      <c r="I564" s="222">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9">
        <f t="shared" si="75"/>
        <v>0</v>
      </c>
    </row>
    <row r="565" spans="1:25" ht="62.25" customHeight="1" hidden="1">
      <c r="A565" s="295"/>
      <c r="B565" s="295"/>
      <c r="C565" s="295"/>
      <c r="D565" s="284"/>
      <c r="E565" s="72" t="s">
        <v>914</v>
      </c>
      <c r="F565" s="105">
        <f t="shared" si="86"/>
        <v>0</v>
      </c>
      <c r="G565" s="114">
        <v>1</v>
      </c>
      <c r="H565" s="105">
        <f t="shared" si="85"/>
        <v>0</v>
      </c>
      <c r="I565" s="222">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9">
        <f t="shared" si="75"/>
        <v>0</v>
      </c>
    </row>
    <row r="566" spans="1:25" ht="54" hidden="1">
      <c r="A566" s="295"/>
      <c r="B566" s="295"/>
      <c r="C566" s="295"/>
      <c r="D566" s="284"/>
      <c r="E566" s="72" t="s">
        <v>113</v>
      </c>
      <c r="F566" s="105">
        <f t="shared" si="86"/>
        <v>0</v>
      </c>
      <c r="G566" s="114">
        <v>1</v>
      </c>
      <c r="H566" s="105">
        <f t="shared" si="85"/>
        <v>0</v>
      </c>
      <c r="I566" s="222">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9">
        <f aca="true" t="shared" si="88" ref="Y566:Y631">K566+L566+M566+N566+O566+P566+Q566+R566+S566+T566-X566</f>
        <v>0</v>
      </c>
    </row>
    <row r="567" spans="1:25" ht="54" hidden="1">
      <c r="A567" s="295"/>
      <c r="B567" s="295"/>
      <c r="C567" s="295"/>
      <c r="D567" s="284"/>
      <c r="E567" s="72" t="s">
        <v>927</v>
      </c>
      <c r="F567" s="105">
        <f t="shared" si="86"/>
        <v>0</v>
      </c>
      <c r="G567" s="114">
        <v>1</v>
      </c>
      <c r="H567" s="105">
        <f t="shared" si="85"/>
        <v>0</v>
      </c>
      <c r="I567" s="222">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9">
        <f t="shared" si="88"/>
        <v>0</v>
      </c>
    </row>
    <row r="568" spans="1:25" ht="60.75" customHeight="1">
      <c r="A568" s="295"/>
      <c r="B568" s="295"/>
      <c r="C568" s="295"/>
      <c r="D568" s="284"/>
      <c r="E568" s="72" t="s">
        <v>928</v>
      </c>
      <c r="F568" s="105">
        <f t="shared" si="86"/>
        <v>2087910</v>
      </c>
      <c r="G568" s="114">
        <v>1</v>
      </c>
      <c r="H568" s="105">
        <f t="shared" si="85"/>
        <v>2087910</v>
      </c>
      <c r="I568" s="222">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4924.8+83335.33+154882+5545.78+96010+89447+131452.25+4093.53</f>
        <v>569690.6900000001</v>
      </c>
      <c r="Y568" s="29">
        <f t="shared" si="88"/>
        <v>1498719.31</v>
      </c>
    </row>
    <row r="569" spans="1:25" ht="75">
      <c r="A569" s="295"/>
      <c r="B569" s="295"/>
      <c r="C569" s="295"/>
      <c r="D569" s="284"/>
      <c r="E569" s="61" t="s">
        <v>737</v>
      </c>
      <c r="F569" s="105">
        <f t="shared" si="86"/>
        <v>366158.6</v>
      </c>
      <c r="G569" s="114">
        <v>1</v>
      </c>
      <c r="H569" s="105">
        <f t="shared" si="85"/>
        <v>366158.6</v>
      </c>
      <c r="I569" s="222">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9">
        <f t="shared" si="88"/>
        <v>0</v>
      </c>
    </row>
    <row r="570" spans="1:25" ht="93.75">
      <c r="A570" s="295"/>
      <c r="B570" s="295"/>
      <c r="C570" s="295"/>
      <c r="D570" s="284"/>
      <c r="E570" s="61" t="s">
        <v>285</v>
      </c>
      <c r="F570" s="105"/>
      <c r="G570" s="114"/>
      <c r="H570" s="105"/>
      <c r="I570" s="222">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f>
        <v>125982.23</v>
      </c>
      <c r="Y570" s="29">
        <f t="shared" si="88"/>
        <v>94017.77</v>
      </c>
    </row>
    <row r="571" spans="1:25" ht="75">
      <c r="A571" s="295"/>
      <c r="B571" s="295"/>
      <c r="C571" s="295"/>
      <c r="D571" s="284"/>
      <c r="E571" s="61" t="s">
        <v>1053</v>
      </c>
      <c r="F571" s="105">
        <f t="shared" si="86"/>
        <v>350000</v>
      </c>
      <c r="G571" s="114">
        <v>1</v>
      </c>
      <c r="H571" s="105">
        <f t="shared" si="85"/>
        <v>350000</v>
      </c>
      <c r="I571" s="222">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9">
        <f t="shared" si="88"/>
        <v>350000</v>
      </c>
    </row>
    <row r="572" spans="1:25" ht="56.25">
      <c r="A572" s="295"/>
      <c r="B572" s="295"/>
      <c r="C572" s="295"/>
      <c r="D572" s="284"/>
      <c r="E572" s="61" t="s">
        <v>738</v>
      </c>
      <c r="F572" s="105">
        <f t="shared" si="86"/>
        <v>218557.20000000004</v>
      </c>
      <c r="G572" s="114">
        <v>1</v>
      </c>
      <c r="H572" s="105">
        <f t="shared" si="85"/>
        <v>218557.20000000004</v>
      </c>
      <c r="I572" s="222">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9">
        <f t="shared" si="88"/>
        <v>268.80000000001746</v>
      </c>
    </row>
    <row r="573" spans="1:25" ht="75">
      <c r="A573" s="295"/>
      <c r="B573" s="295"/>
      <c r="C573" s="295"/>
      <c r="D573" s="284"/>
      <c r="E573" s="61" t="s">
        <v>694</v>
      </c>
      <c r="F573" s="105">
        <f t="shared" si="86"/>
        <v>595000</v>
      </c>
      <c r="G573" s="114">
        <v>1</v>
      </c>
      <c r="H573" s="105">
        <f t="shared" si="85"/>
        <v>595000</v>
      </c>
      <c r="I573" s="222">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f>
        <v>44069</v>
      </c>
      <c r="Y573" s="29">
        <f t="shared" si="88"/>
        <v>550931</v>
      </c>
    </row>
    <row r="574" spans="1:25" ht="60" customHeight="1" hidden="1">
      <c r="A574" s="295"/>
      <c r="B574" s="295"/>
      <c r="C574" s="295"/>
      <c r="D574" s="284"/>
      <c r="E574" s="28" t="s">
        <v>836</v>
      </c>
      <c r="F574" s="105">
        <f t="shared" si="86"/>
        <v>0</v>
      </c>
      <c r="G574" s="114">
        <v>1</v>
      </c>
      <c r="H574" s="105">
        <f t="shared" si="85"/>
        <v>0</v>
      </c>
      <c r="I574" s="222">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9">
        <f t="shared" si="88"/>
        <v>0</v>
      </c>
    </row>
    <row r="575" spans="1:25" ht="57" customHeight="1" hidden="1">
      <c r="A575" s="295"/>
      <c r="B575" s="295"/>
      <c r="C575" s="295"/>
      <c r="D575" s="284"/>
      <c r="E575" s="28" t="s">
        <v>1244</v>
      </c>
      <c r="F575" s="105">
        <f t="shared" si="86"/>
        <v>0</v>
      </c>
      <c r="G575" s="114">
        <v>1</v>
      </c>
      <c r="H575" s="105">
        <f t="shared" si="85"/>
        <v>0</v>
      </c>
      <c r="I575" s="222">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9">
        <f t="shared" si="88"/>
        <v>0</v>
      </c>
    </row>
    <row r="576" spans="1:25" ht="60.75" customHeight="1" hidden="1">
      <c r="A576" s="295"/>
      <c r="B576" s="295"/>
      <c r="C576" s="295"/>
      <c r="D576" s="284"/>
      <c r="E576" s="28" t="s">
        <v>259</v>
      </c>
      <c r="F576" s="105">
        <f t="shared" si="86"/>
        <v>0</v>
      </c>
      <c r="G576" s="114">
        <v>1</v>
      </c>
      <c r="H576" s="105">
        <f t="shared" si="85"/>
        <v>0</v>
      </c>
      <c r="I576" s="222">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9">
        <f t="shared" si="88"/>
        <v>0</v>
      </c>
    </row>
    <row r="577" spans="1:25" ht="54" hidden="1">
      <c r="A577" s="295"/>
      <c r="B577" s="295"/>
      <c r="C577" s="295"/>
      <c r="D577" s="284"/>
      <c r="E577" s="28" t="s">
        <v>260</v>
      </c>
      <c r="F577" s="105">
        <f t="shared" si="86"/>
        <v>0</v>
      </c>
      <c r="G577" s="114">
        <v>1</v>
      </c>
      <c r="H577" s="105">
        <f t="shared" si="85"/>
        <v>0</v>
      </c>
      <c r="I577" s="222">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9">
        <f t="shared" si="88"/>
        <v>0</v>
      </c>
    </row>
    <row r="578" spans="1:25" ht="54" hidden="1">
      <c r="A578" s="295"/>
      <c r="B578" s="295"/>
      <c r="C578" s="295"/>
      <c r="D578" s="284"/>
      <c r="E578" s="28" t="s">
        <v>628</v>
      </c>
      <c r="F578" s="105">
        <f t="shared" si="86"/>
        <v>0</v>
      </c>
      <c r="G578" s="114">
        <v>1</v>
      </c>
      <c r="H578" s="105">
        <f t="shared" si="85"/>
        <v>0</v>
      </c>
      <c r="I578" s="222">
        <v>3131</v>
      </c>
      <c r="J578" s="54">
        <f t="shared" si="89"/>
        <v>0</v>
      </c>
      <c r="K578" s="182"/>
      <c r="L578" s="182"/>
      <c r="M578" s="182"/>
      <c r="N578" s="182"/>
      <c r="O578" s="182"/>
      <c r="P578" s="182"/>
      <c r="Q578" s="182"/>
      <c r="R578" s="182"/>
      <c r="S578" s="182">
        <f>20000-20000</f>
        <v>0</v>
      </c>
      <c r="T578" s="182"/>
      <c r="U578" s="182"/>
      <c r="V578" s="182"/>
      <c r="W578" s="29">
        <f t="shared" si="78"/>
        <v>0</v>
      </c>
      <c r="X578" s="29"/>
      <c r="Y578" s="29">
        <f t="shared" si="88"/>
        <v>0</v>
      </c>
    </row>
    <row r="579" spans="1:25" ht="54" hidden="1">
      <c r="A579" s="295"/>
      <c r="B579" s="295"/>
      <c r="C579" s="295"/>
      <c r="D579" s="284"/>
      <c r="E579" s="28" t="s">
        <v>629</v>
      </c>
      <c r="F579" s="105">
        <f t="shared" si="86"/>
        <v>0</v>
      </c>
      <c r="G579" s="114">
        <v>1</v>
      </c>
      <c r="H579" s="105">
        <f t="shared" si="85"/>
        <v>0</v>
      </c>
      <c r="I579" s="222">
        <v>3131</v>
      </c>
      <c r="J579" s="54">
        <f t="shared" si="89"/>
        <v>0</v>
      </c>
      <c r="K579" s="182"/>
      <c r="L579" s="182"/>
      <c r="M579" s="182"/>
      <c r="N579" s="182"/>
      <c r="O579" s="182"/>
      <c r="P579" s="182"/>
      <c r="Q579" s="182"/>
      <c r="R579" s="182"/>
      <c r="S579" s="182">
        <f>20000-20000</f>
        <v>0</v>
      </c>
      <c r="T579" s="182"/>
      <c r="U579" s="182"/>
      <c r="V579" s="182"/>
      <c r="W579" s="29">
        <f t="shared" si="78"/>
        <v>0</v>
      </c>
      <c r="X579" s="29"/>
      <c r="Y579" s="29">
        <f t="shared" si="88"/>
        <v>0</v>
      </c>
    </row>
    <row r="580" spans="1:25" ht="59.25" customHeight="1" hidden="1">
      <c r="A580" s="295"/>
      <c r="B580" s="295"/>
      <c r="C580" s="295"/>
      <c r="D580" s="284"/>
      <c r="E580" s="28" t="s">
        <v>240</v>
      </c>
      <c r="F580" s="105">
        <f t="shared" si="86"/>
        <v>0</v>
      </c>
      <c r="G580" s="114">
        <v>1</v>
      </c>
      <c r="H580" s="105">
        <f t="shared" si="85"/>
        <v>0</v>
      </c>
      <c r="I580" s="222">
        <v>3131</v>
      </c>
      <c r="J580" s="54">
        <f t="shared" si="89"/>
        <v>0</v>
      </c>
      <c r="K580" s="182"/>
      <c r="L580" s="182"/>
      <c r="M580" s="182"/>
      <c r="N580" s="182"/>
      <c r="O580" s="182"/>
      <c r="P580" s="182"/>
      <c r="Q580" s="182"/>
      <c r="R580" s="182"/>
      <c r="S580" s="182">
        <f>20000-20000</f>
        <v>0</v>
      </c>
      <c r="T580" s="182"/>
      <c r="U580" s="182"/>
      <c r="V580" s="182"/>
      <c r="W580" s="29">
        <f t="shared" si="78"/>
        <v>0</v>
      </c>
      <c r="X580" s="29"/>
      <c r="Y580" s="29">
        <f t="shared" si="88"/>
        <v>0</v>
      </c>
    </row>
    <row r="581" spans="1:25" ht="59.25" customHeight="1" hidden="1">
      <c r="A581" s="295"/>
      <c r="B581" s="295"/>
      <c r="C581" s="295"/>
      <c r="D581" s="284"/>
      <c r="E581" s="28" t="s">
        <v>794</v>
      </c>
      <c r="F581" s="105">
        <f t="shared" si="86"/>
        <v>0</v>
      </c>
      <c r="G581" s="114">
        <v>1</v>
      </c>
      <c r="H581" s="105">
        <f t="shared" si="85"/>
        <v>0</v>
      </c>
      <c r="I581" s="222">
        <v>3131</v>
      </c>
      <c r="J581" s="54">
        <f t="shared" si="89"/>
        <v>0</v>
      </c>
      <c r="K581" s="182"/>
      <c r="L581" s="182"/>
      <c r="M581" s="182"/>
      <c r="N581" s="182"/>
      <c r="O581" s="182"/>
      <c r="P581" s="182"/>
      <c r="Q581" s="182"/>
      <c r="R581" s="182">
        <f>20000-20000</f>
        <v>0</v>
      </c>
      <c r="S581" s="182"/>
      <c r="T581" s="182"/>
      <c r="U581" s="182"/>
      <c r="V581" s="182"/>
      <c r="W581" s="29">
        <f t="shared" si="78"/>
        <v>0</v>
      </c>
      <c r="X581" s="29"/>
      <c r="Y581" s="29">
        <f t="shared" si="88"/>
        <v>0</v>
      </c>
    </row>
    <row r="582" spans="1:25" ht="59.25" customHeight="1" hidden="1">
      <c r="A582" s="295"/>
      <c r="B582" s="295"/>
      <c r="C582" s="295"/>
      <c r="D582" s="284"/>
      <c r="E582" s="28" t="s">
        <v>795</v>
      </c>
      <c r="F582" s="105">
        <f t="shared" si="86"/>
        <v>0</v>
      </c>
      <c r="G582" s="114">
        <v>1</v>
      </c>
      <c r="H582" s="105">
        <f t="shared" si="85"/>
        <v>0</v>
      </c>
      <c r="I582" s="222">
        <v>3131</v>
      </c>
      <c r="J582" s="54">
        <f t="shared" si="89"/>
        <v>0</v>
      </c>
      <c r="K582" s="182"/>
      <c r="L582" s="182"/>
      <c r="M582" s="182"/>
      <c r="N582" s="182"/>
      <c r="O582" s="182"/>
      <c r="P582" s="182"/>
      <c r="Q582" s="182"/>
      <c r="R582" s="182">
        <f>20000-20000</f>
        <v>0</v>
      </c>
      <c r="S582" s="182"/>
      <c r="T582" s="182"/>
      <c r="U582" s="182"/>
      <c r="V582" s="182"/>
      <c r="W582" s="29">
        <f t="shared" si="78"/>
        <v>0</v>
      </c>
      <c r="X582" s="29"/>
      <c r="Y582" s="29">
        <f t="shared" si="88"/>
        <v>0</v>
      </c>
    </row>
    <row r="583" spans="1:25" ht="54" hidden="1">
      <c r="A583" s="295"/>
      <c r="B583" s="295"/>
      <c r="C583" s="295"/>
      <c r="D583" s="284"/>
      <c r="E583" s="28" t="s">
        <v>796</v>
      </c>
      <c r="F583" s="105">
        <f t="shared" si="86"/>
        <v>0</v>
      </c>
      <c r="G583" s="114">
        <v>1</v>
      </c>
      <c r="H583" s="105">
        <f t="shared" si="85"/>
        <v>0</v>
      </c>
      <c r="I583" s="222">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9">
        <f t="shared" si="88"/>
        <v>0</v>
      </c>
    </row>
    <row r="584" spans="1:25" ht="54" hidden="1">
      <c r="A584" s="295"/>
      <c r="B584" s="295"/>
      <c r="C584" s="295"/>
      <c r="D584" s="284"/>
      <c r="E584" s="28" t="s">
        <v>797</v>
      </c>
      <c r="F584" s="105">
        <f t="shared" si="86"/>
        <v>0</v>
      </c>
      <c r="G584" s="114">
        <v>1</v>
      </c>
      <c r="H584" s="105">
        <f t="shared" si="85"/>
        <v>0</v>
      </c>
      <c r="I584" s="222">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9">
        <f t="shared" si="88"/>
        <v>0</v>
      </c>
    </row>
    <row r="585" spans="1:25" ht="131.25">
      <c r="A585" s="295"/>
      <c r="B585" s="295"/>
      <c r="C585" s="295"/>
      <c r="D585" s="284"/>
      <c r="E585" s="28" t="s">
        <v>1059</v>
      </c>
      <c r="F585" s="105"/>
      <c r="G585" s="114"/>
      <c r="H585" s="105"/>
      <c r="I585" s="222">
        <v>3131</v>
      </c>
      <c r="J585" s="54">
        <v>287000</v>
      </c>
      <c r="K585" s="182"/>
      <c r="L585" s="182"/>
      <c r="M585" s="182"/>
      <c r="N585" s="182"/>
      <c r="O585" s="182"/>
      <c r="P585" s="182"/>
      <c r="Q585" s="182"/>
      <c r="R585" s="182">
        <v>129750</v>
      </c>
      <c r="S585" s="182">
        <v>67590</v>
      </c>
      <c r="T585" s="182">
        <v>89660</v>
      </c>
      <c r="U585" s="182"/>
      <c r="V585" s="182"/>
      <c r="W585" s="29">
        <f t="shared" si="78"/>
        <v>0</v>
      </c>
      <c r="X585" s="29"/>
      <c r="Y585" s="29">
        <f t="shared" si="88"/>
        <v>287000</v>
      </c>
    </row>
    <row r="586" spans="1:25" ht="56.25">
      <c r="A586" s="295"/>
      <c r="B586" s="295"/>
      <c r="C586" s="295"/>
      <c r="D586" s="284"/>
      <c r="E586" s="28" t="s">
        <v>286</v>
      </c>
      <c r="F586" s="105"/>
      <c r="G586" s="114"/>
      <c r="H586" s="105"/>
      <c r="I586" s="222">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9">
        <f t="shared" si="88"/>
        <v>60000</v>
      </c>
    </row>
    <row r="587" spans="1:25" ht="56.25">
      <c r="A587" s="296"/>
      <c r="B587" s="296"/>
      <c r="C587" s="296"/>
      <c r="D587" s="301"/>
      <c r="E587" s="28" t="s">
        <v>606</v>
      </c>
      <c r="F587" s="105">
        <f t="shared" si="86"/>
        <v>300000</v>
      </c>
      <c r="G587" s="114">
        <v>1</v>
      </c>
      <c r="H587" s="105">
        <f t="shared" si="85"/>
        <v>300000</v>
      </c>
      <c r="I587" s="222">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f>
        <v>11831.73</v>
      </c>
      <c r="Y587" s="29">
        <f t="shared" si="88"/>
        <v>249168.27</v>
      </c>
    </row>
    <row r="588" spans="1:25" ht="18.75">
      <c r="A588" s="291" t="s">
        <v>1096</v>
      </c>
      <c r="B588" s="291" t="s">
        <v>1095</v>
      </c>
      <c r="C588" s="291" t="s">
        <v>1020</v>
      </c>
      <c r="D588" s="297" t="s">
        <v>645</v>
      </c>
      <c r="E588" s="28"/>
      <c r="F588" s="28"/>
      <c r="G588" s="28"/>
      <c r="H588" s="28"/>
      <c r="I588" s="225"/>
      <c r="J588" s="60">
        <f>SUM(J589:J589)</f>
        <v>13200000</v>
      </c>
      <c r="K588" s="60">
        <f aca="true" t="shared" si="90" ref="K588:X588">SUM(K589:K589)</f>
        <v>0</v>
      </c>
      <c r="L588" s="60">
        <f t="shared" si="90"/>
        <v>0</v>
      </c>
      <c r="M588" s="60">
        <f t="shared" si="90"/>
        <v>0</v>
      </c>
      <c r="N588" s="60">
        <f t="shared" si="90"/>
        <v>500000</v>
      </c>
      <c r="O588" s="60">
        <f t="shared" si="90"/>
        <v>-29450</v>
      </c>
      <c r="P588" s="60">
        <f t="shared" si="90"/>
        <v>27451</v>
      </c>
      <c r="Q588" s="60">
        <f t="shared" si="90"/>
        <v>506917.78</v>
      </c>
      <c r="R588" s="60">
        <f t="shared" si="90"/>
        <v>593000</v>
      </c>
      <c r="S588" s="60">
        <f t="shared" si="90"/>
        <v>337000</v>
      </c>
      <c r="T588" s="60">
        <f t="shared" si="90"/>
        <v>1042549</v>
      </c>
      <c r="U588" s="60">
        <f t="shared" si="90"/>
        <v>2025284.33</v>
      </c>
      <c r="V588" s="60">
        <f t="shared" si="90"/>
        <v>8197247.890000001</v>
      </c>
      <c r="W588" s="60">
        <f t="shared" si="90"/>
        <v>0</v>
      </c>
      <c r="X588" s="60">
        <f t="shared" si="90"/>
        <v>2456600.2800000003</v>
      </c>
      <c r="Y588" s="29">
        <f t="shared" si="88"/>
        <v>520867.5</v>
      </c>
    </row>
    <row r="589" spans="1:25" ht="96" customHeight="1">
      <c r="A589" s="293"/>
      <c r="B589" s="292"/>
      <c r="C589" s="293"/>
      <c r="D589" s="297"/>
      <c r="E589" s="28" t="s">
        <v>822</v>
      </c>
      <c r="F589" s="105">
        <f>J589</f>
        <v>13200000</v>
      </c>
      <c r="G589" s="114">
        <v>1</v>
      </c>
      <c r="H589" s="105">
        <f t="shared" si="85"/>
        <v>13200000</v>
      </c>
      <c r="I589" s="222" t="s">
        <v>1251</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95490.5+24286.92+42550.68+206494.73+99060.72+23318+6799.45+453830.42+39888.8+9199.51+36315.66+87577+101406.66+370814+196051.8+368320.69+295194.74</f>
        <v>2456600.2800000003</v>
      </c>
      <c r="Y589" s="29">
        <f t="shared" si="88"/>
        <v>520867.5</v>
      </c>
    </row>
    <row r="590" spans="1:25" ht="18.75">
      <c r="A590" s="294" t="s">
        <v>904</v>
      </c>
      <c r="B590" s="294" t="s">
        <v>1148</v>
      </c>
      <c r="C590" s="294" t="s">
        <v>222</v>
      </c>
      <c r="D590" s="283" t="s">
        <v>903</v>
      </c>
      <c r="E590" s="28"/>
      <c r="F590" s="28"/>
      <c r="G590" s="28"/>
      <c r="H590" s="28"/>
      <c r="I590" s="225"/>
      <c r="J590" s="60">
        <f>SUM(J591:J663)</f>
        <v>25536303.309999995</v>
      </c>
      <c r="K590" s="60">
        <f aca="true" t="shared" si="91" ref="K590:X590">SUM(K591:K663)</f>
        <v>0</v>
      </c>
      <c r="L590" s="60">
        <f t="shared" si="91"/>
        <v>1260000</v>
      </c>
      <c r="M590" s="60">
        <f t="shared" si="91"/>
        <v>3068060</v>
      </c>
      <c r="N590" s="60">
        <f t="shared" si="91"/>
        <v>4462200</v>
      </c>
      <c r="O590" s="60">
        <f t="shared" si="91"/>
        <v>-245120</v>
      </c>
      <c r="P590" s="60">
        <f t="shared" si="91"/>
        <v>1088100</v>
      </c>
      <c r="Q590" s="60">
        <f t="shared" si="91"/>
        <v>1435916.0999999992</v>
      </c>
      <c r="R590" s="60">
        <f t="shared" si="91"/>
        <v>1165991.85</v>
      </c>
      <c r="S590" s="60">
        <f t="shared" si="91"/>
        <v>1057914.11</v>
      </c>
      <c r="T590" s="60">
        <f t="shared" si="91"/>
        <v>4063330.6</v>
      </c>
      <c r="U590" s="60">
        <f t="shared" si="91"/>
        <v>4549424.720000001</v>
      </c>
      <c r="V590" s="60">
        <f t="shared" si="91"/>
        <v>3630485.93</v>
      </c>
      <c r="W590" s="60">
        <f t="shared" si="91"/>
        <v>-1.2369127944111824E-10</v>
      </c>
      <c r="X590" s="60">
        <f t="shared" si="91"/>
        <v>9436550.73</v>
      </c>
      <c r="Y590" s="29">
        <f t="shared" si="88"/>
        <v>7919841.93</v>
      </c>
    </row>
    <row r="591" spans="1:25" ht="44.25" customHeight="1">
      <c r="A591" s="295"/>
      <c r="B591" s="295"/>
      <c r="C591" s="295"/>
      <c r="D591" s="284"/>
      <c r="E591" s="73" t="s">
        <v>868</v>
      </c>
      <c r="F591" s="105">
        <f>J591</f>
        <v>20000</v>
      </c>
      <c r="G591" s="114">
        <v>1</v>
      </c>
      <c r="H591" s="105">
        <f t="shared" si="85"/>
        <v>20000</v>
      </c>
      <c r="I591" s="222">
        <v>3142</v>
      </c>
      <c r="J591" s="54">
        <v>20000</v>
      </c>
      <c r="K591" s="29"/>
      <c r="L591" s="29"/>
      <c r="M591" s="29"/>
      <c r="N591" s="29"/>
      <c r="O591" s="29"/>
      <c r="P591" s="29"/>
      <c r="Q591" s="29"/>
      <c r="R591" s="29"/>
      <c r="S591" s="29">
        <v>2000</v>
      </c>
      <c r="T591" s="29">
        <v>14000</v>
      </c>
      <c r="U591" s="29"/>
      <c r="V591" s="29">
        <v>4000</v>
      </c>
      <c r="W591" s="29">
        <f t="shared" si="78"/>
        <v>0</v>
      </c>
      <c r="X591" s="29"/>
      <c r="Y591" s="29">
        <f t="shared" si="88"/>
        <v>16000</v>
      </c>
    </row>
    <row r="592" spans="1:25" ht="45.75" customHeight="1">
      <c r="A592" s="295"/>
      <c r="B592" s="295"/>
      <c r="C592" s="295"/>
      <c r="D592" s="284"/>
      <c r="E592" s="73" t="s">
        <v>869</v>
      </c>
      <c r="F592" s="105">
        <f aca="true" t="shared" si="92" ref="F592:F663">J592</f>
        <v>20000</v>
      </c>
      <c r="G592" s="114">
        <v>1</v>
      </c>
      <c r="H592" s="105">
        <f t="shared" si="85"/>
        <v>20000</v>
      </c>
      <c r="I592" s="222">
        <v>3142</v>
      </c>
      <c r="J592" s="54">
        <v>20000</v>
      </c>
      <c r="K592" s="29"/>
      <c r="L592" s="29"/>
      <c r="M592" s="29"/>
      <c r="N592" s="29"/>
      <c r="O592" s="29"/>
      <c r="P592" s="29"/>
      <c r="Q592" s="29"/>
      <c r="R592" s="29"/>
      <c r="S592" s="29">
        <v>2000</v>
      </c>
      <c r="T592" s="29">
        <v>14000</v>
      </c>
      <c r="U592" s="29"/>
      <c r="V592" s="29">
        <v>4000</v>
      </c>
      <c r="W592" s="29">
        <f t="shared" si="78"/>
        <v>0</v>
      </c>
      <c r="X592" s="29"/>
      <c r="Y592" s="29">
        <f t="shared" si="88"/>
        <v>16000</v>
      </c>
    </row>
    <row r="593" spans="1:25" ht="150">
      <c r="A593" s="295"/>
      <c r="B593" s="295"/>
      <c r="C593" s="295"/>
      <c r="D593" s="284"/>
      <c r="E593" s="189" t="s">
        <v>805</v>
      </c>
      <c r="F593" s="198">
        <f t="shared" si="92"/>
        <v>270000</v>
      </c>
      <c r="G593" s="199">
        <v>1</v>
      </c>
      <c r="H593" s="198">
        <f t="shared" si="85"/>
        <v>270000</v>
      </c>
      <c r="I593" s="229">
        <v>3142</v>
      </c>
      <c r="J593" s="206">
        <v>270000</v>
      </c>
      <c r="K593" s="180"/>
      <c r="L593" s="180">
        <v>270000</v>
      </c>
      <c r="M593" s="180"/>
      <c r="N593" s="180"/>
      <c r="O593" s="180"/>
      <c r="P593" s="180"/>
      <c r="Q593" s="180"/>
      <c r="R593" s="180"/>
      <c r="S593" s="180"/>
      <c r="T593" s="180"/>
      <c r="U593" s="180"/>
      <c r="V593" s="180"/>
      <c r="W593" s="29">
        <f t="shared" si="78"/>
        <v>0</v>
      </c>
      <c r="X593" s="29">
        <f>5382+5383.62</f>
        <v>10765.619999999999</v>
      </c>
      <c r="Y593" s="29">
        <f t="shared" si="88"/>
        <v>259234.38</v>
      </c>
    </row>
    <row r="594" spans="1:25" ht="75">
      <c r="A594" s="295"/>
      <c r="B594" s="295"/>
      <c r="C594" s="295"/>
      <c r="D594" s="284"/>
      <c r="E594" s="73" t="s">
        <v>374</v>
      </c>
      <c r="F594" s="105">
        <f t="shared" si="92"/>
        <v>150000</v>
      </c>
      <c r="G594" s="114">
        <v>1</v>
      </c>
      <c r="H594" s="105">
        <f t="shared" si="85"/>
        <v>150000</v>
      </c>
      <c r="I594" s="222">
        <v>3142</v>
      </c>
      <c r="J594" s="54">
        <v>150000</v>
      </c>
      <c r="K594" s="29"/>
      <c r="L594" s="29"/>
      <c r="M594" s="29"/>
      <c r="N594" s="29"/>
      <c r="O594" s="29"/>
      <c r="P594" s="29"/>
      <c r="Q594" s="29"/>
      <c r="R594" s="29"/>
      <c r="S594" s="29">
        <v>15000</v>
      </c>
      <c r="T594" s="29">
        <v>105000</v>
      </c>
      <c r="U594" s="29"/>
      <c r="V594" s="29">
        <v>30000</v>
      </c>
      <c r="W594" s="29">
        <f aca="true" t="shared" si="93" ref="W594:W674">J594-K594-L594-M594-N594-O594-P594-Q594-R594-S594-T594-U594-V594</f>
        <v>0</v>
      </c>
      <c r="X594" s="29"/>
      <c r="Y594" s="29">
        <f t="shared" si="88"/>
        <v>120000</v>
      </c>
    </row>
    <row r="595" spans="1:25" ht="56.25">
      <c r="A595" s="295"/>
      <c r="B595" s="295"/>
      <c r="C595" s="295"/>
      <c r="D595" s="284"/>
      <c r="E595" s="73" t="s">
        <v>375</v>
      </c>
      <c r="F595" s="105">
        <f t="shared" si="92"/>
        <v>80000</v>
      </c>
      <c r="G595" s="114">
        <v>1</v>
      </c>
      <c r="H595" s="105">
        <f t="shared" si="85"/>
        <v>80000</v>
      </c>
      <c r="I595" s="222">
        <v>3142</v>
      </c>
      <c r="J595" s="54">
        <v>80000</v>
      </c>
      <c r="K595" s="29"/>
      <c r="L595" s="29"/>
      <c r="M595" s="29"/>
      <c r="N595" s="29"/>
      <c r="O595" s="29"/>
      <c r="P595" s="29"/>
      <c r="Q595" s="29"/>
      <c r="R595" s="29"/>
      <c r="S595" s="29">
        <v>8000</v>
      </c>
      <c r="T595" s="29">
        <v>56000</v>
      </c>
      <c r="U595" s="29"/>
      <c r="V595" s="29">
        <v>16000</v>
      </c>
      <c r="W595" s="29">
        <f t="shared" si="93"/>
        <v>0</v>
      </c>
      <c r="X595" s="29"/>
      <c r="Y595" s="29">
        <f t="shared" si="88"/>
        <v>64000</v>
      </c>
    </row>
    <row r="596" spans="1:25" ht="168.75">
      <c r="A596" s="295"/>
      <c r="B596" s="295"/>
      <c r="C596" s="295"/>
      <c r="D596" s="284"/>
      <c r="E596" s="73" t="s">
        <v>779</v>
      </c>
      <c r="F596" s="105">
        <f t="shared" si="92"/>
        <v>230000</v>
      </c>
      <c r="G596" s="114"/>
      <c r="H596" s="105">
        <f t="shared" si="85"/>
        <v>230000</v>
      </c>
      <c r="I596" s="222">
        <v>3142</v>
      </c>
      <c r="J596" s="54">
        <v>230000</v>
      </c>
      <c r="K596" s="29"/>
      <c r="L596" s="29"/>
      <c r="M596" s="29"/>
      <c r="N596" s="29"/>
      <c r="O596" s="29"/>
      <c r="P596" s="29"/>
      <c r="Q596" s="29"/>
      <c r="R596" s="29"/>
      <c r="S596" s="29"/>
      <c r="T596" s="29">
        <v>230000</v>
      </c>
      <c r="U596" s="29"/>
      <c r="V596" s="29"/>
      <c r="W596" s="29">
        <f t="shared" si="93"/>
        <v>0</v>
      </c>
      <c r="X596" s="29"/>
      <c r="Y596" s="29">
        <f t="shared" si="88"/>
        <v>230000</v>
      </c>
    </row>
    <row r="597" spans="1:25" ht="168.75">
      <c r="A597" s="295"/>
      <c r="B597" s="295"/>
      <c r="C597" s="295"/>
      <c r="D597" s="284"/>
      <c r="E597" s="73" t="s">
        <v>780</v>
      </c>
      <c r="F597" s="105">
        <f t="shared" si="92"/>
        <v>320000</v>
      </c>
      <c r="G597" s="114"/>
      <c r="H597" s="105">
        <f t="shared" si="85"/>
        <v>320000</v>
      </c>
      <c r="I597" s="222">
        <v>3142</v>
      </c>
      <c r="J597" s="54">
        <v>320000</v>
      </c>
      <c r="K597" s="29"/>
      <c r="L597" s="29"/>
      <c r="M597" s="29"/>
      <c r="N597" s="29"/>
      <c r="O597" s="29"/>
      <c r="P597" s="29"/>
      <c r="Q597" s="29"/>
      <c r="R597" s="29"/>
      <c r="S597" s="29"/>
      <c r="T597" s="29">
        <v>320000</v>
      </c>
      <c r="U597" s="29"/>
      <c r="V597" s="29"/>
      <c r="W597" s="29">
        <f t="shared" si="93"/>
        <v>0</v>
      </c>
      <c r="X597" s="29"/>
      <c r="Y597" s="29">
        <f t="shared" si="88"/>
        <v>320000</v>
      </c>
    </row>
    <row r="598" spans="1:25" ht="75">
      <c r="A598" s="295"/>
      <c r="B598" s="295"/>
      <c r="C598" s="295"/>
      <c r="D598" s="284"/>
      <c r="E598" s="73" t="s">
        <v>556</v>
      </c>
      <c r="F598" s="105">
        <f t="shared" si="92"/>
        <v>45000</v>
      </c>
      <c r="G598" s="114"/>
      <c r="H598" s="105">
        <f t="shared" si="85"/>
        <v>45000</v>
      </c>
      <c r="I598" s="222">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9">
        <f t="shared" si="88"/>
        <v>45000</v>
      </c>
    </row>
    <row r="599" spans="1:25" ht="54" hidden="1">
      <c r="A599" s="295"/>
      <c r="B599" s="295"/>
      <c r="C599" s="295"/>
      <c r="D599" s="284"/>
      <c r="E599" s="73" t="s">
        <v>411</v>
      </c>
      <c r="F599" s="105">
        <f t="shared" si="92"/>
        <v>0</v>
      </c>
      <c r="G599" s="114"/>
      <c r="H599" s="105">
        <f t="shared" si="85"/>
        <v>0</v>
      </c>
      <c r="I599" s="222">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9">
        <f t="shared" si="88"/>
        <v>0</v>
      </c>
    </row>
    <row r="600" spans="1:25" ht="37.5">
      <c r="A600" s="295"/>
      <c r="B600" s="295"/>
      <c r="C600" s="295"/>
      <c r="D600" s="284"/>
      <c r="E600" s="73" t="s">
        <v>864</v>
      </c>
      <c r="F600" s="105">
        <f t="shared" si="92"/>
        <v>1577000</v>
      </c>
      <c r="G600" s="114">
        <v>1</v>
      </c>
      <c r="H600" s="105">
        <f t="shared" si="85"/>
        <v>1577000</v>
      </c>
      <c r="I600" s="222">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3"/>
        <v>0</v>
      </c>
      <c r="X600" s="29">
        <f>10631.39+24806.59+23292.21+1000000</f>
        <v>1058730.19</v>
      </c>
      <c r="Y600" s="29">
        <f t="shared" si="88"/>
        <v>269.8100000000559</v>
      </c>
    </row>
    <row r="601" spans="1:25" ht="36" hidden="1">
      <c r="A601" s="295"/>
      <c r="B601" s="295"/>
      <c r="C601" s="295"/>
      <c r="D601" s="284"/>
      <c r="E601" s="73" t="s">
        <v>1099</v>
      </c>
      <c r="F601" s="105">
        <f t="shared" si="92"/>
        <v>0</v>
      </c>
      <c r="G601" s="114">
        <v>1</v>
      </c>
      <c r="H601" s="105">
        <f t="shared" si="85"/>
        <v>0</v>
      </c>
      <c r="I601" s="222">
        <v>3142</v>
      </c>
      <c r="J601" s="54">
        <f>300000-200000-100000</f>
        <v>0</v>
      </c>
      <c r="K601" s="29"/>
      <c r="L601" s="29"/>
      <c r="M601" s="29"/>
      <c r="N601" s="29"/>
      <c r="O601" s="29"/>
      <c r="P601" s="29"/>
      <c r="Q601" s="29"/>
      <c r="R601" s="29"/>
      <c r="S601" s="29"/>
      <c r="T601" s="29"/>
      <c r="U601" s="29">
        <f>300000-200000-100000</f>
        <v>0</v>
      </c>
      <c r="V601" s="29"/>
      <c r="W601" s="29">
        <f aca="true" t="shared" si="94" ref="W601:W610">J601-K601-L601-M601-N601-O601-P601-Q601-R601-S601-T601-U601-V601</f>
        <v>0</v>
      </c>
      <c r="X601" s="29"/>
      <c r="Y601" s="29">
        <f t="shared" si="88"/>
        <v>0</v>
      </c>
    </row>
    <row r="602" spans="1:25" ht="75">
      <c r="A602" s="295"/>
      <c r="B602" s="295"/>
      <c r="C602" s="295"/>
      <c r="D602" s="284"/>
      <c r="E602" s="73" t="s">
        <v>512</v>
      </c>
      <c r="F602" s="105"/>
      <c r="G602" s="114"/>
      <c r="H602" s="105"/>
      <c r="I602" s="222">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4"/>
        <v>0</v>
      </c>
      <c r="X602" s="29">
        <f>69207.89+1045800</f>
        <v>1115007.89</v>
      </c>
      <c r="Y602" s="29">
        <f t="shared" si="88"/>
        <v>180000</v>
      </c>
    </row>
    <row r="603" spans="1:25" ht="135.75" customHeight="1" hidden="1">
      <c r="A603" s="295"/>
      <c r="B603" s="295"/>
      <c r="C603" s="295"/>
      <c r="D603" s="284"/>
      <c r="E603" s="189" t="s">
        <v>444</v>
      </c>
      <c r="F603" s="198">
        <f t="shared" si="92"/>
        <v>0</v>
      </c>
      <c r="G603" s="199">
        <v>1</v>
      </c>
      <c r="H603" s="198">
        <f t="shared" si="85"/>
        <v>0</v>
      </c>
      <c r="I603" s="229">
        <v>3142</v>
      </c>
      <c r="J603" s="206">
        <f>990000-990000</f>
        <v>0</v>
      </c>
      <c r="K603" s="180"/>
      <c r="L603" s="180">
        <v>990000</v>
      </c>
      <c r="M603" s="180"/>
      <c r="N603" s="180">
        <v>-990000</v>
      </c>
      <c r="O603" s="180"/>
      <c r="P603" s="180"/>
      <c r="Q603" s="180"/>
      <c r="R603" s="180"/>
      <c r="S603" s="180"/>
      <c r="T603" s="180"/>
      <c r="U603" s="180"/>
      <c r="V603" s="180"/>
      <c r="W603" s="29">
        <f t="shared" si="94"/>
        <v>0</v>
      </c>
      <c r="X603" s="29"/>
      <c r="Y603" s="29">
        <f t="shared" si="88"/>
        <v>0</v>
      </c>
    </row>
    <row r="604" spans="1:25" ht="56.25">
      <c r="A604" s="295"/>
      <c r="B604" s="295"/>
      <c r="C604" s="295"/>
      <c r="D604" s="284"/>
      <c r="E604" s="73" t="s">
        <v>937</v>
      </c>
      <c r="F604" s="105"/>
      <c r="G604" s="114"/>
      <c r="H604" s="105"/>
      <c r="I604" s="222">
        <v>3142</v>
      </c>
      <c r="J604" s="54">
        <v>143000</v>
      </c>
      <c r="K604" s="29"/>
      <c r="L604" s="29"/>
      <c r="M604" s="29"/>
      <c r="N604" s="29"/>
      <c r="O604" s="29"/>
      <c r="P604" s="29"/>
      <c r="Q604" s="29"/>
      <c r="R604" s="29">
        <v>65780</v>
      </c>
      <c r="S604" s="29">
        <v>32890</v>
      </c>
      <c r="T604" s="29">
        <f>32890</f>
        <v>32890</v>
      </c>
      <c r="U604" s="29">
        <f>11440</f>
        <v>11440</v>
      </c>
      <c r="V604" s="29"/>
      <c r="W604" s="29">
        <f t="shared" si="94"/>
        <v>0</v>
      </c>
      <c r="X604" s="29"/>
      <c r="Y604" s="29">
        <f t="shared" si="88"/>
        <v>131560</v>
      </c>
    </row>
    <row r="605" spans="1:25" ht="56.25">
      <c r="A605" s="295"/>
      <c r="B605" s="295"/>
      <c r="C605" s="295"/>
      <c r="D605" s="284"/>
      <c r="E605" s="73" t="s">
        <v>938</v>
      </c>
      <c r="F605" s="105"/>
      <c r="G605" s="114"/>
      <c r="H605" s="105"/>
      <c r="I605" s="222">
        <v>3142</v>
      </c>
      <c r="J605" s="54">
        <v>143000</v>
      </c>
      <c r="K605" s="29"/>
      <c r="L605" s="29"/>
      <c r="M605" s="29"/>
      <c r="N605" s="29"/>
      <c r="O605" s="29"/>
      <c r="P605" s="29"/>
      <c r="Q605" s="29"/>
      <c r="R605" s="29">
        <v>65780</v>
      </c>
      <c r="S605" s="29">
        <v>32890</v>
      </c>
      <c r="T605" s="29">
        <f>32890</f>
        <v>32890</v>
      </c>
      <c r="U605" s="29">
        <f>11440</f>
        <v>11440</v>
      </c>
      <c r="V605" s="29"/>
      <c r="W605" s="29">
        <f t="shared" si="94"/>
        <v>0</v>
      </c>
      <c r="X605" s="29"/>
      <c r="Y605" s="29">
        <f t="shared" si="88"/>
        <v>131560</v>
      </c>
    </row>
    <row r="606" spans="1:25" ht="37.5">
      <c r="A606" s="295"/>
      <c r="B606" s="295"/>
      <c r="C606" s="295"/>
      <c r="D606" s="284"/>
      <c r="E606" s="73" t="s">
        <v>530</v>
      </c>
      <c r="F606" s="105"/>
      <c r="G606" s="114"/>
      <c r="H606" s="105"/>
      <c r="I606" s="222">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4"/>
        <v>0</v>
      </c>
      <c r="X606" s="29">
        <f>13324.96+543023.67+128803.36+7677.22</f>
        <v>692829.21</v>
      </c>
      <c r="Y606" s="29">
        <f t="shared" si="88"/>
        <v>207170.79000000004</v>
      </c>
    </row>
    <row r="607" spans="1:25" ht="56.25">
      <c r="A607" s="295"/>
      <c r="B607" s="295"/>
      <c r="C607" s="295"/>
      <c r="D607" s="284"/>
      <c r="E607" s="73" t="s">
        <v>289</v>
      </c>
      <c r="F607" s="105"/>
      <c r="G607" s="114"/>
      <c r="H607" s="105"/>
      <c r="I607" s="222">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4"/>
        <v>0</v>
      </c>
      <c r="X607" s="29">
        <f>9200+156431.85</f>
        <v>165631.85</v>
      </c>
      <c r="Y607" s="29">
        <f t="shared" si="88"/>
        <v>0</v>
      </c>
    </row>
    <row r="608" spans="1:25" ht="36" hidden="1">
      <c r="A608" s="295"/>
      <c r="B608" s="295"/>
      <c r="C608" s="295"/>
      <c r="D608" s="284"/>
      <c r="E608" s="73" t="s">
        <v>138</v>
      </c>
      <c r="F608" s="105"/>
      <c r="G608" s="114"/>
      <c r="H608" s="105"/>
      <c r="I608" s="222">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9">
        <f t="shared" si="88"/>
        <v>0</v>
      </c>
    </row>
    <row r="609" spans="1:25" ht="36" hidden="1">
      <c r="A609" s="295"/>
      <c r="B609" s="295"/>
      <c r="C609" s="295"/>
      <c r="D609" s="284"/>
      <c r="E609" s="73" t="s">
        <v>160</v>
      </c>
      <c r="F609" s="105"/>
      <c r="G609" s="114"/>
      <c r="H609" s="105"/>
      <c r="I609" s="222">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9">
        <f t="shared" si="88"/>
        <v>0</v>
      </c>
    </row>
    <row r="610" spans="1:25" ht="56.25">
      <c r="A610" s="295"/>
      <c r="B610" s="295"/>
      <c r="C610" s="295"/>
      <c r="D610" s="284"/>
      <c r="E610" s="73" t="s">
        <v>1048</v>
      </c>
      <c r="F610" s="105"/>
      <c r="G610" s="114"/>
      <c r="H610" s="105"/>
      <c r="I610" s="222">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4"/>
        <v>0</v>
      </c>
      <c r="X610" s="29">
        <v>26405.07</v>
      </c>
      <c r="Y610" s="29">
        <f t="shared" si="88"/>
        <v>1980245.53</v>
      </c>
    </row>
    <row r="611" spans="1:25" ht="56.25">
      <c r="A611" s="295"/>
      <c r="B611" s="295"/>
      <c r="C611" s="295"/>
      <c r="D611" s="284"/>
      <c r="E611" s="73" t="s">
        <v>667</v>
      </c>
      <c r="F611" s="105">
        <f t="shared" si="92"/>
        <v>50000</v>
      </c>
      <c r="G611" s="114">
        <v>1</v>
      </c>
      <c r="H611" s="105">
        <f t="shared" si="85"/>
        <v>50000</v>
      </c>
      <c r="I611" s="222">
        <v>3122</v>
      </c>
      <c r="J611" s="54">
        <v>50000</v>
      </c>
      <c r="K611" s="29"/>
      <c r="L611" s="29"/>
      <c r="M611" s="29"/>
      <c r="N611" s="29"/>
      <c r="O611" s="29"/>
      <c r="P611" s="29"/>
      <c r="Q611" s="29"/>
      <c r="R611" s="29">
        <v>50000</v>
      </c>
      <c r="S611" s="29"/>
      <c r="T611" s="29"/>
      <c r="U611" s="29"/>
      <c r="V611" s="29"/>
      <c r="W611" s="29">
        <f t="shared" si="93"/>
        <v>0</v>
      </c>
      <c r="X611" s="29"/>
      <c r="Y611" s="29">
        <f t="shared" si="88"/>
        <v>50000</v>
      </c>
    </row>
    <row r="612" spans="1:25" ht="42" customHeight="1">
      <c r="A612" s="295"/>
      <c r="B612" s="295"/>
      <c r="C612" s="295"/>
      <c r="D612" s="284"/>
      <c r="E612" s="73" t="s">
        <v>376</v>
      </c>
      <c r="F612" s="105">
        <f t="shared" si="92"/>
        <v>50000</v>
      </c>
      <c r="G612" s="114">
        <v>1</v>
      </c>
      <c r="H612" s="105">
        <f t="shared" si="85"/>
        <v>50000</v>
      </c>
      <c r="I612" s="222">
        <v>3122</v>
      </c>
      <c r="J612" s="54">
        <v>50000</v>
      </c>
      <c r="K612" s="29"/>
      <c r="L612" s="29"/>
      <c r="M612" s="29"/>
      <c r="N612" s="29"/>
      <c r="O612" s="29"/>
      <c r="P612" s="29"/>
      <c r="Q612" s="29"/>
      <c r="R612" s="29">
        <v>50000</v>
      </c>
      <c r="S612" s="29"/>
      <c r="T612" s="29"/>
      <c r="U612" s="29"/>
      <c r="V612" s="29"/>
      <c r="W612" s="29">
        <f t="shared" si="93"/>
        <v>0</v>
      </c>
      <c r="X612" s="29"/>
      <c r="Y612" s="29">
        <f t="shared" si="88"/>
        <v>50000</v>
      </c>
    </row>
    <row r="613" spans="1:25" ht="112.5">
      <c r="A613" s="295"/>
      <c r="B613" s="295"/>
      <c r="C613" s="295"/>
      <c r="D613" s="284"/>
      <c r="E613" s="28" t="s">
        <v>751</v>
      </c>
      <c r="F613" s="105">
        <f t="shared" si="92"/>
        <v>460000</v>
      </c>
      <c r="G613" s="114">
        <v>1</v>
      </c>
      <c r="H613" s="105">
        <f t="shared" si="85"/>
        <v>460000</v>
      </c>
      <c r="I613" s="222">
        <v>3122</v>
      </c>
      <c r="J613" s="47">
        <f>58000+402000</f>
        <v>460000</v>
      </c>
      <c r="K613" s="29"/>
      <c r="L613" s="29"/>
      <c r="M613" s="29">
        <v>5800</v>
      </c>
      <c r="N613" s="29">
        <v>40600</v>
      </c>
      <c r="O613" s="29"/>
      <c r="P613" s="29"/>
      <c r="Q613" s="29">
        <v>11600</v>
      </c>
      <c r="R613" s="29"/>
      <c r="S613" s="29"/>
      <c r="T613" s="29">
        <f>402000</f>
        <v>402000</v>
      </c>
      <c r="U613" s="29"/>
      <c r="V613" s="29">
        <f>402000-402000</f>
        <v>0</v>
      </c>
      <c r="W613" s="29">
        <f t="shared" si="93"/>
        <v>0</v>
      </c>
      <c r="X613" s="29">
        <f>22000+20700+319000</f>
        <v>361700</v>
      </c>
      <c r="Y613" s="29">
        <f t="shared" si="88"/>
        <v>98300</v>
      </c>
    </row>
    <row r="614" spans="1:25" ht="75">
      <c r="A614" s="295"/>
      <c r="B614" s="295"/>
      <c r="C614" s="295"/>
      <c r="D614" s="284"/>
      <c r="E614" s="28" t="s">
        <v>410</v>
      </c>
      <c r="F614" s="105">
        <f t="shared" si="92"/>
        <v>161000</v>
      </c>
      <c r="G614" s="114">
        <v>1</v>
      </c>
      <c r="H614" s="105">
        <f t="shared" si="85"/>
        <v>161000</v>
      </c>
      <c r="I614" s="222">
        <v>3122</v>
      </c>
      <c r="J614" s="47">
        <f>58000+103000</f>
        <v>161000</v>
      </c>
      <c r="K614" s="29"/>
      <c r="L614" s="29"/>
      <c r="M614" s="29">
        <f>5800+1700</f>
        <v>7500</v>
      </c>
      <c r="N614" s="29">
        <v>40600</v>
      </c>
      <c r="O614" s="29"/>
      <c r="P614" s="29"/>
      <c r="Q614" s="29">
        <f>11600-1700</f>
        <v>9900</v>
      </c>
      <c r="R614" s="29"/>
      <c r="S614" s="29"/>
      <c r="T614" s="29">
        <f>103000</f>
        <v>103000</v>
      </c>
      <c r="U614" s="29"/>
      <c r="V614" s="29">
        <f>103000-103000</f>
        <v>0</v>
      </c>
      <c r="W614" s="29">
        <f t="shared" si="93"/>
        <v>0</v>
      </c>
      <c r="X614" s="29">
        <f>16500+100000</f>
        <v>116500</v>
      </c>
      <c r="Y614" s="29">
        <f t="shared" si="88"/>
        <v>44500</v>
      </c>
    </row>
    <row r="615" spans="1:25" ht="81.75" customHeight="1">
      <c r="A615" s="295"/>
      <c r="B615" s="295"/>
      <c r="C615" s="295"/>
      <c r="D615" s="284"/>
      <c r="E615" s="28" t="s">
        <v>382</v>
      </c>
      <c r="F615" s="105">
        <f t="shared" si="92"/>
        <v>238000</v>
      </c>
      <c r="G615" s="114">
        <v>1</v>
      </c>
      <c r="H615" s="105">
        <f t="shared" si="85"/>
        <v>238000</v>
      </c>
      <c r="I615" s="222">
        <v>3122</v>
      </c>
      <c r="J615" s="47">
        <f>58000+72000+108000</f>
        <v>238000</v>
      </c>
      <c r="K615" s="29"/>
      <c r="L615" s="29"/>
      <c r="M615" s="29">
        <f>5800+1700</f>
        <v>7500</v>
      </c>
      <c r="N615" s="29">
        <v>40600</v>
      </c>
      <c r="O615" s="29"/>
      <c r="P615" s="29"/>
      <c r="Q615" s="29">
        <f>11600-1700</f>
        <v>9900</v>
      </c>
      <c r="R615" s="29"/>
      <c r="S615" s="29"/>
      <c r="T615" s="29">
        <f>180000</f>
        <v>180000</v>
      </c>
      <c r="U615" s="29">
        <f>108000-108000</f>
        <v>0</v>
      </c>
      <c r="V615" s="29">
        <f>72000-72000</f>
        <v>0</v>
      </c>
      <c r="W615" s="29">
        <f t="shared" si="93"/>
        <v>0</v>
      </c>
      <c r="X615" s="29">
        <f>7500+12300+177000</f>
        <v>196800</v>
      </c>
      <c r="Y615" s="29">
        <f t="shared" si="88"/>
        <v>41200</v>
      </c>
    </row>
    <row r="616" spans="1:25" ht="81.75" customHeight="1">
      <c r="A616" s="295"/>
      <c r="B616" s="295"/>
      <c r="C616" s="295"/>
      <c r="D616" s="284"/>
      <c r="E616" s="28" t="s">
        <v>1165</v>
      </c>
      <c r="F616" s="105">
        <f t="shared" si="92"/>
        <v>188859.53</v>
      </c>
      <c r="G616" s="114"/>
      <c r="H616" s="105">
        <f t="shared" si="85"/>
        <v>188859.53</v>
      </c>
      <c r="I616" s="222">
        <v>3122</v>
      </c>
      <c r="J616" s="47">
        <f>232000-43140.47</f>
        <v>188859.53</v>
      </c>
      <c r="K616" s="29"/>
      <c r="L616" s="29"/>
      <c r="M616" s="29"/>
      <c r="N616" s="29"/>
      <c r="O616" s="29"/>
      <c r="P616" s="29"/>
      <c r="Q616" s="29">
        <v>116000</v>
      </c>
      <c r="R616" s="29">
        <v>26000</v>
      </c>
      <c r="S616" s="29">
        <f>116000-26000-43140.47</f>
        <v>46859.53</v>
      </c>
      <c r="T616" s="29"/>
      <c r="U616" s="29"/>
      <c r="V616" s="29"/>
      <c r="W616" s="29">
        <f t="shared" si="93"/>
        <v>0</v>
      </c>
      <c r="X616" s="29">
        <f>16000</f>
        <v>16000</v>
      </c>
      <c r="Y616" s="29">
        <f t="shared" si="88"/>
        <v>172859.53</v>
      </c>
    </row>
    <row r="617" spans="1:25" ht="93.75">
      <c r="A617" s="295"/>
      <c r="B617" s="295"/>
      <c r="C617" s="295"/>
      <c r="D617" s="284"/>
      <c r="E617" s="28" t="s">
        <v>204</v>
      </c>
      <c r="F617" s="105">
        <f t="shared" si="92"/>
        <v>213000</v>
      </c>
      <c r="G617" s="114">
        <v>1</v>
      </c>
      <c r="H617" s="105">
        <f t="shared" si="85"/>
        <v>213000</v>
      </c>
      <c r="I617" s="222">
        <v>3122</v>
      </c>
      <c r="J617" s="47">
        <f>58000+155000</f>
        <v>213000</v>
      </c>
      <c r="K617" s="29"/>
      <c r="L617" s="29"/>
      <c r="M617" s="29">
        <v>5800</v>
      </c>
      <c r="N617" s="29">
        <v>40600</v>
      </c>
      <c r="O617" s="29"/>
      <c r="P617" s="29"/>
      <c r="Q617" s="29">
        <v>11600</v>
      </c>
      <c r="R617" s="29"/>
      <c r="S617" s="29"/>
      <c r="T617" s="29">
        <f>155000</f>
        <v>155000</v>
      </c>
      <c r="U617" s="29"/>
      <c r="V617" s="29">
        <f>155000-155000</f>
        <v>0</v>
      </c>
      <c r="W617" s="29">
        <f t="shared" si="93"/>
        <v>0</v>
      </c>
      <c r="X617" s="29">
        <f>11500+3500+137000</f>
        <v>152000</v>
      </c>
      <c r="Y617" s="29">
        <f t="shared" si="88"/>
        <v>61000</v>
      </c>
    </row>
    <row r="618" spans="1:25" ht="75">
      <c r="A618" s="295"/>
      <c r="B618" s="295"/>
      <c r="C618" s="295"/>
      <c r="D618" s="284"/>
      <c r="E618" s="28" t="s">
        <v>749</v>
      </c>
      <c r="F618" s="105">
        <f t="shared" si="92"/>
        <v>437152.61</v>
      </c>
      <c r="G618" s="114">
        <v>1</v>
      </c>
      <c r="H618" s="105">
        <f t="shared" si="85"/>
        <v>437152.61</v>
      </c>
      <c r="I618" s="222">
        <v>3122</v>
      </c>
      <c r="J618" s="47">
        <f>390000+47152.61</f>
        <v>437152.61</v>
      </c>
      <c r="K618" s="29"/>
      <c r="L618" s="29"/>
      <c r="M618" s="29">
        <v>39000</v>
      </c>
      <c r="N618" s="29">
        <v>273000</v>
      </c>
      <c r="O618" s="29"/>
      <c r="P618" s="29"/>
      <c r="Q618" s="29">
        <f>78000+47152.61</f>
        <v>125152.61</v>
      </c>
      <c r="R618" s="29"/>
      <c r="S618" s="29"/>
      <c r="T618" s="29"/>
      <c r="U618" s="29"/>
      <c r="V618" s="29"/>
      <c r="W618" s="29">
        <f t="shared" si="93"/>
        <v>-1.4551915228366852E-11</v>
      </c>
      <c r="X618" s="29">
        <f>39100+240000</f>
        <v>279100</v>
      </c>
      <c r="Y618" s="29">
        <f t="shared" si="88"/>
        <v>158052.61</v>
      </c>
    </row>
    <row r="619" spans="1:25" ht="75">
      <c r="A619" s="295"/>
      <c r="B619" s="295"/>
      <c r="C619" s="295"/>
      <c r="D619" s="284"/>
      <c r="E619" s="28" t="s">
        <v>205</v>
      </c>
      <c r="F619" s="105">
        <f t="shared" si="92"/>
        <v>173035.06</v>
      </c>
      <c r="G619" s="114">
        <v>1</v>
      </c>
      <c r="H619" s="105">
        <f t="shared" si="85"/>
        <v>173035.06</v>
      </c>
      <c r="I619" s="222">
        <v>3122</v>
      </c>
      <c r="J619" s="47">
        <f>390000-216964.94</f>
        <v>173035.06</v>
      </c>
      <c r="K619" s="29"/>
      <c r="L619" s="29"/>
      <c r="M619" s="29">
        <v>39000</v>
      </c>
      <c r="N619" s="29">
        <v>273000</v>
      </c>
      <c r="O619" s="29"/>
      <c r="P619" s="29"/>
      <c r="Q619" s="29">
        <f>78000-216964.94</f>
        <v>-138964.94</v>
      </c>
      <c r="R619" s="29"/>
      <c r="S619" s="29"/>
      <c r="T619" s="29"/>
      <c r="U619" s="29"/>
      <c r="V619" s="29"/>
      <c r="W619" s="29">
        <f t="shared" si="93"/>
        <v>0</v>
      </c>
      <c r="X619" s="29">
        <f>15800+131000+22707.83</f>
        <v>169507.83000000002</v>
      </c>
      <c r="Y619" s="29">
        <f t="shared" si="88"/>
        <v>3527.2299999999814</v>
      </c>
    </row>
    <row r="620" spans="1:25" ht="75">
      <c r="A620" s="295"/>
      <c r="B620" s="295"/>
      <c r="C620" s="295"/>
      <c r="D620" s="284"/>
      <c r="E620" s="28" t="s">
        <v>0</v>
      </c>
      <c r="F620" s="105">
        <f t="shared" si="92"/>
        <v>226484.7</v>
      </c>
      <c r="G620" s="114">
        <v>1</v>
      </c>
      <c r="H620" s="105">
        <f t="shared" si="85"/>
        <v>226484.7</v>
      </c>
      <c r="I620" s="222">
        <v>3122</v>
      </c>
      <c r="J620" s="47">
        <f>380000-153515.3</f>
        <v>226484.7</v>
      </c>
      <c r="K620" s="29"/>
      <c r="L620" s="29"/>
      <c r="M620" s="29">
        <v>38000</v>
      </c>
      <c r="N620" s="29">
        <v>266000</v>
      </c>
      <c r="O620" s="29"/>
      <c r="P620" s="29"/>
      <c r="Q620" s="29">
        <f>76000-153515.3</f>
        <v>-77515.29999999999</v>
      </c>
      <c r="R620" s="29"/>
      <c r="S620" s="29"/>
      <c r="T620" s="29"/>
      <c r="U620" s="29"/>
      <c r="V620" s="29"/>
      <c r="W620" s="29">
        <f t="shared" si="93"/>
        <v>0</v>
      </c>
      <c r="X620" s="29">
        <f>17100+176000</f>
        <v>193100</v>
      </c>
      <c r="Y620" s="29">
        <f t="shared" si="88"/>
        <v>33384.70000000001</v>
      </c>
    </row>
    <row r="621" spans="1:25" ht="93.75">
      <c r="A621" s="295"/>
      <c r="B621" s="295"/>
      <c r="C621" s="295"/>
      <c r="D621" s="284"/>
      <c r="E621" s="28" t="s">
        <v>803</v>
      </c>
      <c r="F621" s="105">
        <f t="shared" si="92"/>
        <v>178455.87</v>
      </c>
      <c r="G621" s="114">
        <v>1</v>
      </c>
      <c r="H621" s="105">
        <f t="shared" si="85"/>
        <v>178455.87</v>
      </c>
      <c r="I621" s="222">
        <v>3122</v>
      </c>
      <c r="J621" s="47">
        <f>180000-5744.13+4200</f>
        <v>178455.87</v>
      </c>
      <c r="K621" s="29"/>
      <c r="L621" s="29"/>
      <c r="M621" s="29">
        <v>18000</v>
      </c>
      <c r="N621" s="29">
        <v>126000</v>
      </c>
      <c r="O621" s="29"/>
      <c r="P621" s="29"/>
      <c r="Q621" s="29">
        <f>36000-5744.13</f>
        <v>30255.87</v>
      </c>
      <c r="R621" s="29"/>
      <c r="S621" s="29">
        <v>4200</v>
      </c>
      <c r="T621" s="29"/>
      <c r="U621" s="29"/>
      <c r="V621" s="29"/>
      <c r="W621" s="29">
        <f t="shared" si="93"/>
        <v>-3.637978807091713E-12</v>
      </c>
      <c r="X621" s="29">
        <f>9500+3500+4200+133000</f>
        <v>150200</v>
      </c>
      <c r="Y621" s="29">
        <f t="shared" si="88"/>
        <v>28255.869999999995</v>
      </c>
    </row>
    <row r="622" spans="1:25" ht="75">
      <c r="A622" s="295"/>
      <c r="B622" s="295"/>
      <c r="C622" s="295"/>
      <c r="D622" s="284"/>
      <c r="E622" s="28" t="s">
        <v>16</v>
      </c>
      <c r="F622" s="105">
        <f t="shared" si="92"/>
        <v>362968.99</v>
      </c>
      <c r="G622" s="114">
        <v>1</v>
      </c>
      <c r="H622" s="105">
        <f t="shared" si="85"/>
        <v>362968.99</v>
      </c>
      <c r="I622" s="222">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3"/>
        <v>-1.4551915228366852E-11</v>
      </c>
      <c r="X622" s="29">
        <f>27000+8000+8100+55000</f>
        <v>98100</v>
      </c>
      <c r="Y622" s="29">
        <f t="shared" si="88"/>
        <v>264868.99</v>
      </c>
    </row>
    <row r="623" spans="1:25" ht="75">
      <c r="A623" s="295"/>
      <c r="B623" s="295"/>
      <c r="C623" s="295"/>
      <c r="D623" s="284"/>
      <c r="E623" s="28" t="s">
        <v>17</v>
      </c>
      <c r="F623" s="105">
        <f t="shared" si="92"/>
        <v>46400</v>
      </c>
      <c r="G623" s="114">
        <v>1</v>
      </c>
      <c r="H623" s="105">
        <f t="shared" si="85"/>
        <v>46400</v>
      </c>
      <c r="I623" s="222">
        <v>3122</v>
      </c>
      <c r="J623" s="47">
        <v>46400</v>
      </c>
      <c r="K623" s="29"/>
      <c r="L623" s="29"/>
      <c r="M623" s="29">
        <v>4640</v>
      </c>
      <c r="N623" s="29">
        <v>32480</v>
      </c>
      <c r="O623" s="29"/>
      <c r="P623" s="29"/>
      <c r="Q623" s="29">
        <v>9280</v>
      </c>
      <c r="R623" s="29"/>
      <c r="S623" s="29"/>
      <c r="T623" s="29"/>
      <c r="U623" s="29"/>
      <c r="V623" s="29"/>
      <c r="W623" s="29">
        <f t="shared" si="93"/>
        <v>0</v>
      </c>
      <c r="X623" s="29">
        <f>9500+6300</f>
        <v>15800</v>
      </c>
      <c r="Y623" s="29">
        <f t="shared" si="88"/>
        <v>30600</v>
      </c>
    </row>
    <row r="624" spans="1:25" ht="54" hidden="1">
      <c r="A624" s="295"/>
      <c r="B624" s="295"/>
      <c r="C624" s="295"/>
      <c r="D624" s="284"/>
      <c r="E624" s="28" t="s">
        <v>18</v>
      </c>
      <c r="F624" s="105">
        <f t="shared" si="92"/>
        <v>0</v>
      </c>
      <c r="G624" s="114">
        <v>1</v>
      </c>
      <c r="H624" s="105">
        <f t="shared" si="85"/>
        <v>0</v>
      </c>
      <c r="I624" s="222">
        <v>3122</v>
      </c>
      <c r="J624" s="47">
        <f>46400-46400</f>
        <v>0</v>
      </c>
      <c r="K624" s="29"/>
      <c r="L624" s="29"/>
      <c r="M624" s="29">
        <f>4640-4640</f>
        <v>0</v>
      </c>
      <c r="N624" s="29">
        <f>32480-32480</f>
        <v>0</v>
      </c>
      <c r="O624" s="29"/>
      <c r="P624" s="29"/>
      <c r="Q624" s="29">
        <f>9280-9280</f>
        <v>0</v>
      </c>
      <c r="R624" s="29"/>
      <c r="S624" s="29"/>
      <c r="T624" s="29"/>
      <c r="U624" s="29"/>
      <c r="V624" s="29"/>
      <c r="W624" s="29">
        <f t="shared" si="93"/>
        <v>0</v>
      </c>
      <c r="X624" s="29"/>
      <c r="Y624" s="29">
        <f t="shared" si="88"/>
        <v>0</v>
      </c>
    </row>
    <row r="625" spans="1:25" ht="54" hidden="1">
      <c r="A625" s="295"/>
      <c r="B625" s="295"/>
      <c r="C625" s="295"/>
      <c r="D625" s="284"/>
      <c r="E625" s="28" t="s">
        <v>1201</v>
      </c>
      <c r="F625" s="105">
        <f t="shared" si="92"/>
        <v>0</v>
      </c>
      <c r="G625" s="114">
        <v>1</v>
      </c>
      <c r="H625" s="105">
        <f t="shared" si="85"/>
        <v>0</v>
      </c>
      <c r="I625" s="222">
        <v>3122</v>
      </c>
      <c r="J625" s="47">
        <f>46400-46400</f>
        <v>0</v>
      </c>
      <c r="K625" s="29"/>
      <c r="L625" s="29"/>
      <c r="M625" s="29">
        <f>4640-4640</f>
        <v>0</v>
      </c>
      <c r="N625" s="29">
        <f>32480-32480</f>
        <v>0</v>
      </c>
      <c r="O625" s="29"/>
      <c r="P625" s="29"/>
      <c r="Q625" s="29">
        <f>9280-9280</f>
        <v>0</v>
      </c>
      <c r="R625" s="29"/>
      <c r="S625" s="29"/>
      <c r="T625" s="29"/>
      <c r="U625" s="29"/>
      <c r="V625" s="29"/>
      <c r="W625" s="29">
        <f t="shared" si="93"/>
        <v>0</v>
      </c>
      <c r="X625" s="29"/>
      <c r="Y625" s="29">
        <f t="shared" si="88"/>
        <v>0</v>
      </c>
    </row>
    <row r="626" spans="1:25" ht="75">
      <c r="A626" s="295"/>
      <c r="B626" s="295"/>
      <c r="C626" s="295"/>
      <c r="D626" s="284"/>
      <c r="E626" s="28" t="s">
        <v>1202</v>
      </c>
      <c r="F626" s="105">
        <f t="shared" si="92"/>
        <v>128644</v>
      </c>
      <c r="G626" s="114">
        <v>1</v>
      </c>
      <c r="H626" s="105">
        <f aca="true" t="shared" si="95" ref="H626:H663">J626</f>
        <v>128644</v>
      </c>
      <c r="I626" s="222">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3"/>
        <v>0</v>
      </c>
      <c r="X626" s="29">
        <f>7500+5200+97000+16306.93</f>
        <v>126006.93</v>
      </c>
      <c r="Y626" s="29">
        <f t="shared" si="88"/>
        <v>2637.070000000007</v>
      </c>
    </row>
    <row r="627" spans="1:25" ht="54" hidden="1">
      <c r="A627" s="295"/>
      <c r="B627" s="295"/>
      <c r="C627" s="295"/>
      <c r="D627" s="284"/>
      <c r="E627" s="28" t="s">
        <v>346</v>
      </c>
      <c r="F627" s="105">
        <f t="shared" si="92"/>
        <v>0</v>
      </c>
      <c r="G627" s="114">
        <v>1</v>
      </c>
      <c r="H627" s="105">
        <f t="shared" si="95"/>
        <v>0</v>
      </c>
      <c r="I627" s="222">
        <v>3122</v>
      </c>
      <c r="J627" s="47">
        <f>46400-46400</f>
        <v>0</v>
      </c>
      <c r="K627" s="29"/>
      <c r="L627" s="29"/>
      <c r="M627" s="29">
        <f>4640-4640</f>
        <v>0</v>
      </c>
      <c r="N627" s="29">
        <f>32480-32480</f>
        <v>0</v>
      </c>
      <c r="O627" s="29"/>
      <c r="P627" s="29"/>
      <c r="Q627" s="29">
        <f>9280-9280</f>
        <v>0</v>
      </c>
      <c r="R627" s="29"/>
      <c r="S627" s="29"/>
      <c r="T627" s="29"/>
      <c r="U627" s="29"/>
      <c r="V627" s="29"/>
      <c r="W627" s="29">
        <f t="shared" si="93"/>
        <v>0</v>
      </c>
      <c r="X627" s="29"/>
      <c r="Y627" s="29">
        <f t="shared" si="88"/>
        <v>0</v>
      </c>
    </row>
    <row r="628" spans="1:25" ht="75">
      <c r="A628" s="295"/>
      <c r="B628" s="295"/>
      <c r="C628" s="295"/>
      <c r="D628" s="284"/>
      <c r="E628" s="28" t="s">
        <v>934</v>
      </c>
      <c r="F628" s="105">
        <f t="shared" si="92"/>
        <v>130456.25</v>
      </c>
      <c r="G628" s="114">
        <v>1</v>
      </c>
      <c r="H628" s="105">
        <f t="shared" si="95"/>
        <v>130456.25</v>
      </c>
      <c r="I628" s="222">
        <v>3122</v>
      </c>
      <c r="J628" s="47">
        <f>92800+37656.25</f>
        <v>130456.25</v>
      </c>
      <c r="K628" s="29"/>
      <c r="L628" s="29"/>
      <c r="M628" s="29">
        <v>9280</v>
      </c>
      <c r="N628" s="29">
        <v>64960</v>
      </c>
      <c r="O628" s="29"/>
      <c r="P628" s="29"/>
      <c r="Q628" s="29">
        <f>18560+37656.25</f>
        <v>56216.25</v>
      </c>
      <c r="R628" s="29"/>
      <c r="S628" s="29"/>
      <c r="T628" s="29"/>
      <c r="U628" s="29"/>
      <c r="V628" s="29"/>
      <c r="W628" s="29">
        <f t="shared" si="93"/>
        <v>0</v>
      </c>
      <c r="X628" s="29">
        <f>8000+3000+53000</f>
        <v>64000</v>
      </c>
      <c r="Y628" s="29">
        <f t="shared" si="88"/>
        <v>66456.25</v>
      </c>
    </row>
    <row r="629" spans="1:25" ht="75">
      <c r="A629" s="295"/>
      <c r="B629" s="295"/>
      <c r="C629" s="295"/>
      <c r="D629" s="284"/>
      <c r="E629" s="28" t="s">
        <v>21</v>
      </c>
      <c r="F629" s="105">
        <f t="shared" si="92"/>
        <v>195292.31</v>
      </c>
      <c r="G629" s="114">
        <v>1</v>
      </c>
      <c r="H629" s="105">
        <f t="shared" si="95"/>
        <v>195292.31</v>
      </c>
      <c r="I629" s="222">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3"/>
        <v>0</v>
      </c>
      <c r="X629" s="29">
        <f>21000+10400+40000</f>
        <v>71400</v>
      </c>
      <c r="Y629" s="29">
        <f t="shared" si="88"/>
        <v>123892.31</v>
      </c>
    </row>
    <row r="630" spans="1:25" ht="75">
      <c r="A630" s="295"/>
      <c r="B630" s="295"/>
      <c r="C630" s="295"/>
      <c r="D630" s="284"/>
      <c r="E630" s="28" t="s">
        <v>633</v>
      </c>
      <c r="F630" s="105">
        <f t="shared" si="92"/>
        <v>105043.61</v>
      </c>
      <c r="G630" s="114">
        <v>1</v>
      </c>
      <c r="H630" s="105">
        <f t="shared" si="95"/>
        <v>105043.61</v>
      </c>
      <c r="I630" s="222">
        <v>3122</v>
      </c>
      <c r="J630" s="47">
        <f>92800+12243.61</f>
        <v>105043.61</v>
      </c>
      <c r="K630" s="29"/>
      <c r="L630" s="29"/>
      <c r="M630" s="29">
        <v>9280</v>
      </c>
      <c r="N630" s="29">
        <v>64960</v>
      </c>
      <c r="O630" s="29"/>
      <c r="P630" s="29"/>
      <c r="Q630" s="29">
        <f>18560+12243.61</f>
        <v>30803.61</v>
      </c>
      <c r="R630" s="29"/>
      <c r="S630" s="29"/>
      <c r="T630" s="29"/>
      <c r="U630" s="29"/>
      <c r="V630" s="29"/>
      <c r="W630" s="29">
        <f t="shared" si="93"/>
        <v>0</v>
      </c>
      <c r="X630" s="29">
        <f>8500+5400+53000</f>
        <v>66900</v>
      </c>
      <c r="Y630" s="29">
        <f t="shared" si="88"/>
        <v>38143.61</v>
      </c>
    </row>
    <row r="631" spans="1:25" ht="75">
      <c r="A631" s="295"/>
      <c r="B631" s="295"/>
      <c r="C631" s="295"/>
      <c r="D631" s="284"/>
      <c r="E631" s="28" t="s">
        <v>102</v>
      </c>
      <c r="F631" s="105">
        <f t="shared" si="92"/>
        <v>82931.34</v>
      </c>
      <c r="G631" s="114">
        <v>1</v>
      </c>
      <c r="H631" s="105">
        <f t="shared" si="95"/>
        <v>82931.34</v>
      </c>
      <c r="I631" s="222">
        <v>3122</v>
      </c>
      <c r="J631" s="47">
        <f>92800-9868.66</f>
        <v>82931.34</v>
      </c>
      <c r="K631" s="29"/>
      <c r="L631" s="29"/>
      <c r="M631" s="29">
        <v>9280</v>
      </c>
      <c r="N631" s="29">
        <v>64960</v>
      </c>
      <c r="O631" s="29"/>
      <c r="P631" s="29"/>
      <c r="Q631" s="29">
        <f>18560-9868.66</f>
        <v>8691.34</v>
      </c>
      <c r="R631" s="29"/>
      <c r="S631" s="29"/>
      <c r="T631" s="29"/>
      <c r="U631" s="29"/>
      <c r="V631" s="29"/>
      <c r="W631" s="29">
        <f t="shared" si="93"/>
        <v>-3.637978807091713E-12</v>
      </c>
      <c r="X631" s="29">
        <f>7500+5100+57000+11700.08</f>
        <v>81300.08</v>
      </c>
      <c r="Y631" s="29">
        <f t="shared" si="88"/>
        <v>1631.2599999999948</v>
      </c>
    </row>
    <row r="632" spans="1:25" ht="54" hidden="1">
      <c r="A632" s="295"/>
      <c r="B632" s="295"/>
      <c r="C632" s="295"/>
      <c r="D632" s="284"/>
      <c r="E632" s="28" t="s">
        <v>630</v>
      </c>
      <c r="F632" s="105">
        <f t="shared" si="92"/>
        <v>0</v>
      </c>
      <c r="G632" s="114">
        <v>1</v>
      </c>
      <c r="H632" s="105">
        <f t="shared" si="95"/>
        <v>0</v>
      </c>
      <c r="I632" s="222">
        <v>3122</v>
      </c>
      <c r="J632" s="47">
        <f>232000-232000</f>
        <v>0</v>
      </c>
      <c r="K632" s="29"/>
      <c r="L632" s="29"/>
      <c r="M632" s="29">
        <f>23200-23200</f>
        <v>0</v>
      </c>
      <c r="N632" s="29">
        <f>162400-162400</f>
        <v>0</v>
      </c>
      <c r="O632" s="29"/>
      <c r="P632" s="29"/>
      <c r="Q632" s="29">
        <f>46400-46400</f>
        <v>0</v>
      </c>
      <c r="R632" s="29"/>
      <c r="S632" s="29"/>
      <c r="T632" s="29"/>
      <c r="U632" s="29"/>
      <c r="V632" s="29"/>
      <c r="W632" s="29">
        <f t="shared" si="93"/>
        <v>0</v>
      </c>
      <c r="X632" s="29"/>
      <c r="Y632" s="29">
        <f aca="true" t="shared" si="96" ref="Y632:Y694">K632+L632+M632+N632+O632+P632+Q632+R632+S632+T632-X632</f>
        <v>0</v>
      </c>
    </row>
    <row r="633" spans="1:25" ht="75">
      <c r="A633" s="295"/>
      <c r="B633" s="295"/>
      <c r="C633" s="295"/>
      <c r="D633" s="284"/>
      <c r="E633" s="28" t="s">
        <v>915</v>
      </c>
      <c r="F633" s="105">
        <f t="shared" si="92"/>
        <v>107191.08</v>
      </c>
      <c r="G633" s="114"/>
      <c r="H633" s="105">
        <f t="shared" si="95"/>
        <v>107191.08</v>
      </c>
      <c r="I633" s="222">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f>
        <v>104962.68</v>
      </c>
      <c r="Y633" s="29">
        <f t="shared" si="96"/>
        <v>2228.4000000000087</v>
      </c>
    </row>
    <row r="634" spans="1:25" ht="75">
      <c r="A634" s="295"/>
      <c r="B634" s="295"/>
      <c r="C634" s="295"/>
      <c r="D634" s="284"/>
      <c r="E634" s="28" t="s">
        <v>916</v>
      </c>
      <c r="F634" s="105">
        <f t="shared" si="92"/>
        <v>111523.97</v>
      </c>
      <c r="G634" s="114"/>
      <c r="H634" s="105">
        <f t="shared" si="95"/>
        <v>111523.97</v>
      </c>
      <c r="I634" s="222">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f>
        <v>71600</v>
      </c>
      <c r="Y634" s="29">
        <f t="shared" si="96"/>
        <v>39923.97</v>
      </c>
    </row>
    <row r="635" spans="1:25" ht="81" customHeight="1">
      <c r="A635" s="295"/>
      <c r="B635" s="295"/>
      <c r="C635" s="295"/>
      <c r="D635" s="284"/>
      <c r="E635" s="28" t="s">
        <v>631</v>
      </c>
      <c r="F635" s="105">
        <f t="shared" si="92"/>
        <v>59000</v>
      </c>
      <c r="G635" s="114">
        <v>1</v>
      </c>
      <c r="H635" s="105">
        <f t="shared" si="95"/>
        <v>59000</v>
      </c>
      <c r="I635" s="222">
        <v>3122</v>
      </c>
      <c r="J635" s="47">
        <v>59000</v>
      </c>
      <c r="K635" s="29"/>
      <c r="L635" s="29"/>
      <c r="M635" s="29">
        <f>5900+2500</f>
        <v>8400</v>
      </c>
      <c r="N635" s="29">
        <v>41300</v>
      </c>
      <c r="O635" s="29"/>
      <c r="P635" s="29"/>
      <c r="Q635" s="29">
        <f>11800-2500</f>
        <v>9300</v>
      </c>
      <c r="R635" s="29"/>
      <c r="S635" s="29"/>
      <c r="T635" s="29"/>
      <c r="U635" s="29"/>
      <c r="V635" s="29"/>
      <c r="W635" s="29">
        <f t="shared" si="93"/>
        <v>0</v>
      </c>
      <c r="X635" s="29">
        <v>8400</v>
      </c>
      <c r="Y635" s="29">
        <f t="shared" si="96"/>
        <v>50600</v>
      </c>
    </row>
    <row r="636" spans="1:25" ht="54" hidden="1">
      <c r="A636" s="295"/>
      <c r="B636" s="295"/>
      <c r="C636" s="295"/>
      <c r="D636" s="284"/>
      <c r="E636" s="28" t="s">
        <v>1212</v>
      </c>
      <c r="F636" s="105">
        <f t="shared" si="92"/>
        <v>0</v>
      </c>
      <c r="G636" s="114">
        <v>1</v>
      </c>
      <c r="H636" s="105">
        <f t="shared" si="95"/>
        <v>0</v>
      </c>
      <c r="I636" s="222">
        <v>3122</v>
      </c>
      <c r="J636" s="47">
        <f>59000-59000</f>
        <v>0</v>
      </c>
      <c r="K636" s="29"/>
      <c r="L636" s="29"/>
      <c r="M636" s="29">
        <v>5900</v>
      </c>
      <c r="N636" s="29">
        <v>41300</v>
      </c>
      <c r="O636" s="29"/>
      <c r="P636" s="29"/>
      <c r="Q636" s="29">
        <f>11800-59000</f>
        <v>-47200</v>
      </c>
      <c r="R636" s="29"/>
      <c r="S636" s="29"/>
      <c r="T636" s="29"/>
      <c r="U636" s="29"/>
      <c r="V636" s="29"/>
      <c r="W636" s="29">
        <f t="shared" si="93"/>
        <v>0</v>
      </c>
      <c r="X636" s="29"/>
      <c r="Y636" s="29">
        <f t="shared" si="96"/>
        <v>0</v>
      </c>
    </row>
    <row r="637" spans="1:25" ht="102" customHeight="1" hidden="1">
      <c r="A637" s="295"/>
      <c r="B637" s="295"/>
      <c r="C637" s="295"/>
      <c r="D637" s="284"/>
      <c r="E637" s="28" t="s">
        <v>1213</v>
      </c>
      <c r="F637" s="105">
        <f t="shared" si="92"/>
        <v>0</v>
      </c>
      <c r="G637" s="114">
        <v>1</v>
      </c>
      <c r="H637" s="105">
        <f t="shared" si="95"/>
        <v>0</v>
      </c>
      <c r="I637" s="222">
        <v>3122</v>
      </c>
      <c r="J637" s="47">
        <f>150000-150000</f>
        <v>0</v>
      </c>
      <c r="K637" s="29"/>
      <c r="L637" s="29"/>
      <c r="M637" s="29">
        <f>15000-15000</f>
        <v>0</v>
      </c>
      <c r="N637" s="29">
        <f>105000-105000</f>
        <v>0</v>
      </c>
      <c r="O637" s="29"/>
      <c r="P637" s="29"/>
      <c r="Q637" s="29">
        <f>30000-30000</f>
        <v>0</v>
      </c>
      <c r="R637" s="29"/>
      <c r="S637" s="29"/>
      <c r="T637" s="29"/>
      <c r="U637" s="29"/>
      <c r="V637" s="29"/>
      <c r="W637" s="29">
        <f t="shared" si="93"/>
        <v>0</v>
      </c>
      <c r="X637" s="29"/>
      <c r="Y637" s="29">
        <f t="shared" si="96"/>
        <v>0</v>
      </c>
    </row>
    <row r="638" spans="1:25" ht="37.5">
      <c r="A638" s="295"/>
      <c r="B638" s="295"/>
      <c r="C638" s="295"/>
      <c r="D638" s="284"/>
      <c r="E638" s="28" t="s">
        <v>806</v>
      </c>
      <c r="F638" s="105">
        <f t="shared" si="92"/>
        <v>100000</v>
      </c>
      <c r="G638" s="114">
        <v>1</v>
      </c>
      <c r="H638" s="105">
        <f t="shared" si="95"/>
        <v>100000</v>
      </c>
      <c r="I638" s="222">
        <v>3122</v>
      </c>
      <c r="J638" s="47">
        <v>100000</v>
      </c>
      <c r="K638" s="29"/>
      <c r="L638" s="29"/>
      <c r="M638" s="29">
        <v>10000</v>
      </c>
      <c r="N638" s="29">
        <v>70000</v>
      </c>
      <c r="O638" s="29"/>
      <c r="P638" s="29"/>
      <c r="Q638" s="29">
        <v>20000</v>
      </c>
      <c r="R638" s="29"/>
      <c r="S638" s="29"/>
      <c r="T638" s="29"/>
      <c r="U638" s="29"/>
      <c r="V638" s="29"/>
      <c r="W638" s="29">
        <f t="shared" si="93"/>
        <v>0</v>
      </c>
      <c r="X638" s="29">
        <f>8000+2500+4300</f>
        <v>14800</v>
      </c>
      <c r="Y638" s="29">
        <f t="shared" si="96"/>
        <v>85200</v>
      </c>
    </row>
    <row r="639" spans="1:25" ht="37.5">
      <c r="A639" s="295"/>
      <c r="B639" s="295"/>
      <c r="C639" s="295"/>
      <c r="D639" s="284"/>
      <c r="E639" s="28" t="s">
        <v>355</v>
      </c>
      <c r="F639" s="105">
        <f t="shared" si="92"/>
        <v>100000</v>
      </c>
      <c r="G639" s="114">
        <v>1</v>
      </c>
      <c r="H639" s="105">
        <f t="shared" si="95"/>
        <v>100000</v>
      </c>
      <c r="I639" s="222">
        <v>3122</v>
      </c>
      <c r="J639" s="47">
        <v>100000</v>
      </c>
      <c r="K639" s="29"/>
      <c r="L639" s="29"/>
      <c r="M639" s="29">
        <v>10000</v>
      </c>
      <c r="N639" s="29">
        <v>70000</v>
      </c>
      <c r="O639" s="29"/>
      <c r="P639" s="29"/>
      <c r="Q639" s="29">
        <v>20000</v>
      </c>
      <c r="R639" s="29"/>
      <c r="S639" s="29"/>
      <c r="T639" s="29"/>
      <c r="U639" s="29"/>
      <c r="V639" s="29"/>
      <c r="W639" s="29">
        <f t="shared" si="93"/>
        <v>0</v>
      </c>
      <c r="X639" s="29">
        <f>8000+5100</f>
        <v>13100</v>
      </c>
      <c r="Y639" s="29">
        <f t="shared" si="96"/>
        <v>86900</v>
      </c>
    </row>
    <row r="640" spans="1:25" ht="75">
      <c r="A640" s="295"/>
      <c r="B640" s="295"/>
      <c r="C640" s="295"/>
      <c r="D640" s="284"/>
      <c r="E640" s="28" t="s">
        <v>1239</v>
      </c>
      <c r="F640" s="105">
        <f t="shared" si="92"/>
        <v>304018.98</v>
      </c>
      <c r="G640" s="114">
        <v>1</v>
      </c>
      <c r="H640" s="105">
        <f t="shared" si="95"/>
        <v>304018.98</v>
      </c>
      <c r="I640" s="222">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3"/>
        <v>-2.9103830456733704E-11</v>
      </c>
      <c r="X640" s="29">
        <f>13000+10500+141960</f>
        <v>165460</v>
      </c>
      <c r="Y640" s="29">
        <f t="shared" si="96"/>
        <v>138558.97999999998</v>
      </c>
    </row>
    <row r="641" spans="1:25" ht="93.75">
      <c r="A641" s="295"/>
      <c r="B641" s="295"/>
      <c r="C641" s="295"/>
      <c r="D641" s="284"/>
      <c r="E641" s="28" t="s">
        <v>228</v>
      </c>
      <c r="F641" s="105">
        <f t="shared" si="92"/>
        <v>113777.69</v>
      </c>
      <c r="G641" s="114"/>
      <c r="H641" s="105">
        <f t="shared" si="95"/>
        <v>113777.69</v>
      </c>
      <c r="I641" s="222">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f>
        <v>77000</v>
      </c>
      <c r="Y641" s="29">
        <f t="shared" si="96"/>
        <v>36777.69</v>
      </c>
    </row>
    <row r="642" spans="1:25" ht="75">
      <c r="A642" s="295"/>
      <c r="B642" s="295"/>
      <c r="C642" s="295"/>
      <c r="D642" s="284"/>
      <c r="E642" s="28" t="s">
        <v>634</v>
      </c>
      <c r="F642" s="105">
        <f t="shared" si="92"/>
        <v>224627.44</v>
      </c>
      <c r="G642" s="114"/>
      <c r="H642" s="105">
        <f t="shared" si="95"/>
        <v>224627.44</v>
      </c>
      <c r="I642" s="222">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f>
        <v>76700</v>
      </c>
      <c r="Y642" s="29">
        <f t="shared" si="96"/>
        <v>147927.44</v>
      </c>
    </row>
    <row r="643" spans="1:25" ht="93.75">
      <c r="A643" s="295"/>
      <c r="B643" s="295"/>
      <c r="C643" s="295"/>
      <c r="D643" s="284"/>
      <c r="E643" s="28" t="s">
        <v>227</v>
      </c>
      <c r="F643" s="105">
        <f t="shared" si="92"/>
        <v>696000</v>
      </c>
      <c r="G643" s="114">
        <v>1</v>
      </c>
      <c r="H643" s="105">
        <f t="shared" si="95"/>
        <v>696000</v>
      </c>
      <c r="I643" s="222">
        <v>3122</v>
      </c>
      <c r="J643" s="47">
        <v>696000</v>
      </c>
      <c r="K643" s="29"/>
      <c r="L643" s="29"/>
      <c r="M643" s="29">
        <v>69600</v>
      </c>
      <c r="N643" s="29">
        <v>487200</v>
      </c>
      <c r="O643" s="29"/>
      <c r="P643" s="29">
        <v>-400000</v>
      </c>
      <c r="Q643" s="29">
        <f>139200+400000</f>
        <v>539200</v>
      </c>
      <c r="R643" s="29"/>
      <c r="S643" s="29"/>
      <c r="T643" s="29"/>
      <c r="U643" s="29"/>
      <c r="V643" s="29"/>
      <c r="W643" s="29">
        <f t="shared" si="93"/>
        <v>0</v>
      </c>
      <c r="X643" s="29"/>
      <c r="Y643" s="29">
        <f t="shared" si="96"/>
        <v>696000</v>
      </c>
    </row>
    <row r="644" spans="1:25" ht="93.75">
      <c r="A644" s="295"/>
      <c r="B644" s="295"/>
      <c r="C644" s="295"/>
      <c r="D644" s="284"/>
      <c r="E644" s="28" t="s">
        <v>1199</v>
      </c>
      <c r="F644" s="105">
        <f t="shared" si="92"/>
        <v>175035.9</v>
      </c>
      <c r="G644" s="114">
        <v>1</v>
      </c>
      <c r="H644" s="105">
        <f t="shared" si="95"/>
        <v>175035.9</v>
      </c>
      <c r="I644" s="222">
        <v>3122</v>
      </c>
      <c r="J644" s="47">
        <f>232000-56964.1</f>
        <v>175035.9</v>
      </c>
      <c r="K644" s="29"/>
      <c r="L644" s="29"/>
      <c r="M644" s="29">
        <v>23200</v>
      </c>
      <c r="N644" s="29">
        <v>162400</v>
      </c>
      <c r="O644" s="29"/>
      <c r="P644" s="29"/>
      <c r="Q644" s="29">
        <f>46400-56964.1</f>
        <v>-10564.099999999999</v>
      </c>
      <c r="R644" s="29"/>
      <c r="S644" s="29"/>
      <c r="T644" s="29"/>
      <c r="U644" s="29"/>
      <c r="V644" s="29"/>
      <c r="W644" s="29">
        <f t="shared" si="93"/>
        <v>-7.275957614183426E-12</v>
      </c>
      <c r="X644" s="29">
        <f>10500+2500+5800+124000+29260.62</f>
        <v>172060.62</v>
      </c>
      <c r="Y644" s="29">
        <f t="shared" si="96"/>
        <v>2975.279999999999</v>
      </c>
    </row>
    <row r="645" spans="1:25" ht="75">
      <c r="A645" s="295"/>
      <c r="B645" s="295"/>
      <c r="C645" s="295"/>
      <c r="D645" s="284"/>
      <c r="E645" s="28" t="s">
        <v>1060</v>
      </c>
      <c r="F645" s="105"/>
      <c r="G645" s="114"/>
      <c r="H645" s="105"/>
      <c r="I645" s="222">
        <v>3122</v>
      </c>
      <c r="J645" s="47">
        <v>232000</v>
      </c>
      <c r="K645" s="29"/>
      <c r="L645" s="29"/>
      <c r="M645" s="29"/>
      <c r="N645" s="29"/>
      <c r="O645" s="29"/>
      <c r="P645" s="29"/>
      <c r="Q645" s="29"/>
      <c r="R645" s="29"/>
      <c r="S645" s="29">
        <v>232000</v>
      </c>
      <c r="T645" s="29"/>
      <c r="U645" s="29"/>
      <c r="V645" s="29"/>
      <c r="W645" s="29">
        <f t="shared" si="93"/>
        <v>0</v>
      </c>
      <c r="X645" s="29"/>
      <c r="Y645" s="29">
        <f t="shared" si="96"/>
        <v>232000</v>
      </c>
    </row>
    <row r="646" spans="1:25" ht="75">
      <c r="A646" s="295"/>
      <c r="B646" s="295"/>
      <c r="C646" s="295"/>
      <c r="D646" s="284"/>
      <c r="E646" s="28" t="s">
        <v>1082</v>
      </c>
      <c r="F646" s="105">
        <f t="shared" si="92"/>
        <v>165793.61000000002</v>
      </c>
      <c r="G646" s="114">
        <v>1</v>
      </c>
      <c r="H646" s="105">
        <f t="shared" si="95"/>
        <v>165793.61000000002</v>
      </c>
      <c r="I646" s="222">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3"/>
        <v>0</v>
      </c>
      <c r="X646" s="29">
        <f>11376.86</f>
        <v>11376.86</v>
      </c>
      <c r="Y646" s="29">
        <f t="shared" si="96"/>
        <v>125863.61</v>
      </c>
    </row>
    <row r="647" spans="1:25" ht="75">
      <c r="A647" s="295"/>
      <c r="B647" s="295"/>
      <c r="C647" s="295"/>
      <c r="D647" s="284"/>
      <c r="E647" s="28" t="s">
        <v>1083</v>
      </c>
      <c r="F647" s="105">
        <f t="shared" si="92"/>
        <v>120326.25</v>
      </c>
      <c r="G647" s="114">
        <v>1</v>
      </c>
      <c r="H647" s="105">
        <f t="shared" si="95"/>
        <v>120326.25</v>
      </c>
      <c r="I647" s="222">
        <v>3122</v>
      </c>
      <c r="J647" s="47">
        <f>116000+4326.25</f>
        <v>120326.25</v>
      </c>
      <c r="K647" s="29"/>
      <c r="L647" s="29"/>
      <c r="M647" s="29">
        <v>11600</v>
      </c>
      <c r="N647" s="29">
        <v>81200</v>
      </c>
      <c r="O647" s="29"/>
      <c r="P647" s="29"/>
      <c r="Q647" s="29">
        <f>23200+4326.25</f>
        <v>27526.25</v>
      </c>
      <c r="R647" s="29"/>
      <c r="S647" s="29"/>
      <c r="T647" s="29"/>
      <c r="U647" s="29"/>
      <c r="V647" s="29"/>
      <c r="W647" s="29">
        <f t="shared" si="93"/>
        <v>0</v>
      </c>
      <c r="X647" s="29">
        <f>8000+2000+4500+88000</f>
        <v>102500</v>
      </c>
      <c r="Y647" s="29">
        <f t="shared" si="96"/>
        <v>17826.25</v>
      </c>
    </row>
    <row r="648" spans="1:25" ht="138" customHeight="1">
      <c r="A648" s="295"/>
      <c r="B648" s="295"/>
      <c r="C648" s="295"/>
      <c r="D648" s="284"/>
      <c r="E648" s="28" t="s">
        <v>477</v>
      </c>
      <c r="F648" s="105">
        <f t="shared" si="92"/>
        <v>1018426.57</v>
      </c>
      <c r="G648" s="114">
        <v>1</v>
      </c>
      <c r="H648" s="105">
        <f t="shared" si="95"/>
        <v>1018426.57</v>
      </c>
      <c r="I648" s="222">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3"/>
        <v>-5.820766091346741E-11</v>
      </c>
      <c r="X648" s="29">
        <f>28000+14000+699000</f>
        <v>741000</v>
      </c>
      <c r="Y648" s="29">
        <f t="shared" si="96"/>
        <v>277426.57000000007</v>
      </c>
    </row>
    <row r="649" spans="1:25" ht="77.25" customHeight="1">
      <c r="A649" s="295"/>
      <c r="B649" s="295"/>
      <c r="C649" s="295"/>
      <c r="D649" s="284"/>
      <c r="E649" s="28" t="s">
        <v>23</v>
      </c>
      <c r="F649" s="105">
        <f t="shared" si="92"/>
        <v>247162.65</v>
      </c>
      <c r="G649" s="114">
        <v>1</v>
      </c>
      <c r="H649" s="105">
        <f t="shared" si="95"/>
        <v>247162.65</v>
      </c>
      <c r="I649" s="222">
        <v>3122</v>
      </c>
      <c r="J649" s="47">
        <f>164000+83162.65</f>
        <v>247162.65</v>
      </c>
      <c r="K649" s="29"/>
      <c r="L649" s="29"/>
      <c r="M649" s="29">
        <v>16400</v>
      </c>
      <c r="N649" s="29">
        <v>114800</v>
      </c>
      <c r="O649" s="29"/>
      <c r="P649" s="29"/>
      <c r="Q649" s="29">
        <f>32800+83162.65</f>
        <v>115962.65</v>
      </c>
      <c r="R649" s="29"/>
      <c r="S649" s="29"/>
      <c r="T649" s="29"/>
      <c r="U649" s="29"/>
      <c r="V649" s="29"/>
      <c r="W649" s="29">
        <f t="shared" si="93"/>
        <v>0</v>
      </c>
      <c r="X649" s="29">
        <f>14000+10600+94000</f>
        <v>118600</v>
      </c>
      <c r="Y649" s="29">
        <f t="shared" si="96"/>
        <v>128562.65</v>
      </c>
    </row>
    <row r="650" spans="1:25" ht="81" customHeight="1">
      <c r="A650" s="295"/>
      <c r="B650" s="295"/>
      <c r="C650" s="295"/>
      <c r="D650" s="284"/>
      <c r="E650" s="28" t="s">
        <v>474</v>
      </c>
      <c r="F650" s="105">
        <f t="shared" si="92"/>
        <v>220856.75</v>
      </c>
      <c r="G650" s="114">
        <v>1</v>
      </c>
      <c r="H650" s="105">
        <f t="shared" si="95"/>
        <v>220856.75</v>
      </c>
      <c r="I650" s="222">
        <v>3122</v>
      </c>
      <c r="J650" s="47">
        <f>154000+66856.75</f>
        <v>220856.75</v>
      </c>
      <c r="K650" s="29"/>
      <c r="L650" s="29"/>
      <c r="M650" s="29">
        <v>15400</v>
      </c>
      <c r="N650" s="29">
        <v>107800</v>
      </c>
      <c r="O650" s="29"/>
      <c r="P650" s="29"/>
      <c r="Q650" s="29">
        <f>30800+66856.75</f>
        <v>97656.75</v>
      </c>
      <c r="R650" s="29"/>
      <c r="S650" s="29"/>
      <c r="T650" s="29"/>
      <c r="U650" s="29"/>
      <c r="V650" s="29"/>
      <c r="W650" s="29">
        <f t="shared" si="93"/>
        <v>0</v>
      </c>
      <c r="X650" s="29">
        <f>9900+7600+90000</f>
        <v>107500</v>
      </c>
      <c r="Y650" s="29">
        <f t="shared" si="96"/>
        <v>113356.75</v>
      </c>
    </row>
    <row r="651" spans="1:25" ht="75">
      <c r="A651" s="295"/>
      <c r="B651" s="295"/>
      <c r="C651" s="295"/>
      <c r="D651" s="284"/>
      <c r="E651" s="28" t="s">
        <v>103</v>
      </c>
      <c r="F651" s="105">
        <f t="shared" si="92"/>
        <v>275263.15</v>
      </c>
      <c r="G651" s="114">
        <v>1</v>
      </c>
      <c r="H651" s="105">
        <f t="shared" si="95"/>
        <v>275263.15</v>
      </c>
      <c r="I651" s="222">
        <v>3122</v>
      </c>
      <c r="J651" s="47">
        <f>168000+107263.15</f>
        <v>275263.15</v>
      </c>
      <c r="K651" s="29"/>
      <c r="L651" s="29"/>
      <c r="M651" s="29">
        <v>16800</v>
      </c>
      <c r="N651" s="29">
        <v>117600</v>
      </c>
      <c r="O651" s="29"/>
      <c r="P651" s="29"/>
      <c r="Q651" s="29">
        <f>33600+107263.15</f>
        <v>140863.15</v>
      </c>
      <c r="R651" s="29"/>
      <c r="S651" s="29"/>
      <c r="T651" s="29"/>
      <c r="U651" s="29"/>
      <c r="V651" s="29"/>
      <c r="W651" s="29">
        <f t="shared" si="93"/>
        <v>2.9103830456733704E-11</v>
      </c>
      <c r="X651" s="29">
        <f>7500+10200+100000</f>
        <v>117700</v>
      </c>
      <c r="Y651" s="29">
        <f t="shared" si="96"/>
        <v>157563.15000000002</v>
      </c>
    </row>
    <row r="652" spans="1:25" ht="75">
      <c r="A652" s="295"/>
      <c r="B652" s="295"/>
      <c r="C652" s="295"/>
      <c r="D652" s="284"/>
      <c r="E652" s="28" t="s">
        <v>475</v>
      </c>
      <c r="F652" s="105">
        <f t="shared" si="92"/>
        <v>168000</v>
      </c>
      <c r="G652" s="114">
        <v>1</v>
      </c>
      <c r="H652" s="105">
        <f t="shared" si="95"/>
        <v>168000</v>
      </c>
      <c r="I652" s="222">
        <v>3122</v>
      </c>
      <c r="J652" s="47">
        <v>168000</v>
      </c>
      <c r="K652" s="29"/>
      <c r="L652" s="29"/>
      <c r="M652" s="29">
        <v>16800</v>
      </c>
      <c r="N652" s="29">
        <v>117600</v>
      </c>
      <c r="O652" s="29"/>
      <c r="P652" s="29"/>
      <c r="Q652" s="29">
        <v>33600</v>
      </c>
      <c r="R652" s="29"/>
      <c r="S652" s="29"/>
      <c r="T652" s="29"/>
      <c r="U652" s="29"/>
      <c r="V652" s="29"/>
      <c r="W652" s="29">
        <f t="shared" si="93"/>
        <v>0</v>
      </c>
      <c r="X652" s="29"/>
      <c r="Y652" s="29">
        <f t="shared" si="96"/>
        <v>168000</v>
      </c>
    </row>
    <row r="653" spans="1:25" ht="75">
      <c r="A653" s="295"/>
      <c r="B653" s="295"/>
      <c r="C653" s="295"/>
      <c r="D653" s="284"/>
      <c r="E653" s="28" t="s">
        <v>104</v>
      </c>
      <c r="F653" s="105">
        <f t="shared" si="92"/>
        <v>153998.1</v>
      </c>
      <c r="G653" s="114">
        <v>1</v>
      </c>
      <c r="H653" s="105">
        <f t="shared" si="95"/>
        <v>153998.1</v>
      </c>
      <c r="I653" s="222">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3"/>
        <v>7.275957614183426E-12</v>
      </c>
      <c r="X653" s="29">
        <f>10000+3000+6200+114000</f>
        <v>133200</v>
      </c>
      <c r="Y653" s="29">
        <f t="shared" si="96"/>
        <v>20798.100000000006</v>
      </c>
    </row>
    <row r="654" spans="1:25" ht="75">
      <c r="A654" s="295"/>
      <c r="B654" s="295"/>
      <c r="C654" s="295"/>
      <c r="D654" s="284"/>
      <c r="E654" s="28" t="s">
        <v>351</v>
      </c>
      <c r="F654" s="105">
        <f t="shared" si="92"/>
        <v>199755.33000000002</v>
      </c>
      <c r="G654" s="114">
        <v>1</v>
      </c>
      <c r="H654" s="105">
        <f t="shared" si="95"/>
        <v>199755.33000000002</v>
      </c>
      <c r="I654" s="222">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3"/>
        <v>1.4551915228366852E-11</v>
      </c>
      <c r="X654" s="29">
        <f>9500+3100+5000+102200</f>
        <v>119800</v>
      </c>
      <c r="Y654" s="29">
        <f t="shared" si="96"/>
        <v>79955.33000000002</v>
      </c>
    </row>
    <row r="655" spans="1:25" ht="75">
      <c r="A655" s="295"/>
      <c r="B655" s="295"/>
      <c r="C655" s="295"/>
      <c r="D655" s="284"/>
      <c r="E655" s="28" t="s">
        <v>1180</v>
      </c>
      <c r="F655" s="105">
        <f t="shared" si="92"/>
        <v>168676.82</v>
      </c>
      <c r="G655" s="114">
        <v>1</v>
      </c>
      <c r="H655" s="105">
        <f t="shared" si="95"/>
        <v>168676.82</v>
      </c>
      <c r="I655" s="222">
        <v>3122</v>
      </c>
      <c r="J655" s="47">
        <f>168000+676.82</f>
        <v>168676.82</v>
      </c>
      <c r="K655" s="29"/>
      <c r="L655" s="29"/>
      <c r="M655" s="29">
        <v>16800</v>
      </c>
      <c r="N655" s="29">
        <v>117600</v>
      </c>
      <c r="O655" s="29"/>
      <c r="P655" s="29"/>
      <c r="Q655" s="29">
        <f>33600+676.82</f>
        <v>34276.82</v>
      </c>
      <c r="R655" s="29"/>
      <c r="S655" s="29"/>
      <c r="T655" s="29"/>
      <c r="U655" s="29"/>
      <c r="V655" s="29"/>
      <c r="W655" s="29">
        <f t="shared" si="93"/>
        <v>7.275957614183426E-12</v>
      </c>
      <c r="X655" s="29">
        <f>10000+5400+119000+31278.93</f>
        <v>165678.93</v>
      </c>
      <c r="Y655" s="29">
        <f t="shared" si="96"/>
        <v>2997.890000000014</v>
      </c>
    </row>
    <row r="656" spans="1:25" ht="75">
      <c r="A656" s="295"/>
      <c r="B656" s="295"/>
      <c r="C656" s="295"/>
      <c r="D656" s="284"/>
      <c r="E656" s="28" t="s">
        <v>383</v>
      </c>
      <c r="F656" s="105">
        <f t="shared" si="92"/>
        <v>182225.78</v>
      </c>
      <c r="G656" s="114">
        <v>1</v>
      </c>
      <c r="H656" s="105">
        <f t="shared" si="95"/>
        <v>182225.78</v>
      </c>
      <c r="I656" s="222">
        <v>3122</v>
      </c>
      <c r="J656" s="47">
        <f>168000+14225.78</f>
        <v>182225.78</v>
      </c>
      <c r="K656" s="29"/>
      <c r="L656" s="29"/>
      <c r="M656" s="29">
        <v>16800</v>
      </c>
      <c r="N656" s="29">
        <v>117600</v>
      </c>
      <c r="O656" s="29"/>
      <c r="P656" s="29"/>
      <c r="Q656" s="29">
        <f>33600+14225.78</f>
        <v>47825.78</v>
      </c>
      <c r="R656" s="29"/>
      <c r="S656" s="29"/>
      <c r="T656" s="29"/>
      <c r="U656" s="29"/>
      <c r="V656" s="29"/>
      <c r="W656" s="29">
        <f t="shared" si="93"/>
        <v>0</v>
      </c>
      <c r="X656" s="29">
        <f>9400+6400+118600+43822.8</f>
        <v>178222.8</v>
      </c>
      <c r="Y656" s="29">
        <f t="shared" si="96"/>
        <v>4002.9800000000105</v>
      </c>
    </row>
    <row r="657" spans="1:25" ht="75">
      <c r="A657" s="295"/>
      <c r="B657" s="295"/>
      <c r="C657" s="295"/>
      <c r="D657" s="284"/>
      <c r="E657" s="28" t="s">
        <v>430</v>
      </c>
      <c r="F657" s="105">
        <f t="shared" si="92"/>
        <v>129557.86</v>
      </c>
      <c r="G657" s="114">
        <v>1</v>
      </c>
      <c r="H657" s="105">
        <f t="shared" si="95"/>
        <v>129557.86</v>
      </c>
      <c r="I657" s="222">
        <v>3122</v>
      </c>
      <c r="J657" s="47">
        <f>232000-102442.14</f>
        <v>129557.86</v>
      </c>
      <c r="K657" s="29"/>
      <c r="L657" s="29"/>
      <c r="M657" s="29">
        <v>23200</v>
      </c>
      <c r="N657" s="29">
        <v>162400</v>
      </c>
      <c r="O657" s="29"/>
      <c r="P657" s="29"/>
      <c r="Q657" s="29">
        <f>46400-102442.14</f>
        <v>-56042.14</v>
      </c>
      <c r="R657" s="29"/>
      <c r="S657" s="29"/>
      <c r="T657" s="29"/>
      <c r="U657" s="29"/>
      <c r="V657" s="29"/>
      <c r="W657" s="29">
        <f t="shared" si="93"/>
        <v>0</v>
      </c>
      <c r="X657" s="29">
        <f>8800+5400+89000+23976.86+1841+540</f>
        <v>129557.86</v>
      </c>
      <c r="Y657" s="29">
        <f t="shared" si="96"/>
        <v>0</v>
      </c>
    </row>
    <row r="658" spans="1:25" ht="93.75">
      <c r="A658" s="295"/>
      <c r="B658" s="295"/>
      <c r="C658" s="295"/>
      <c r="D658" s="284"/>
      <c r="E658" s="28" t="s">
        <v>1123</v>
      </c>
      <c r="F658" s="105">
        <f t="shared" si="92"/>
        <v>100000</v>
      </c>
      <c r="G658" s="114">
        <v>1</v>
      </c>
      <c r="H658" s="105">
        <f t="shared" si="95"/>
        <v>100000</v>
      </c>
      <c r="I658" s="222">
        <v>3122</v>
      </c>
      <c r="J658" s="47">
        <v>100000</v>
      </c>
      <c r="K658" s="29"/>
      <c r="L658" s="29"/>
      <c r="M658" s="29">
        <v>10000</v>
      </c>
      <c r="N658" s="29">
        <v>70000</v>
      </c>
      <c r="O658" s="29"/>
      <c r="P658" s="29"/>
      <c r="Q658" s="29">
        <v>20000</v>
      </c>
      <c r="R658" s="29"/>
      <c r="S658" s="29"/>
      <c r="T658" s="29"/>
      <c r="U658" s="29"/>
      <c r="V658" s="29"/>
      <c r="W658" s="29">
        <f t="shared" si="93"/>
        <v>0</v>
      </c>
      <c r="X658" s="29"/>
      <c r="Y658" s="29">
        <f t="shared" si="96"/>
        <v>100000</v>
      </c>
    </row>
    <row r="659" spans="1:25" ht="112.5">
      <c r="A659" s="295"/>
      <c r="B659" s="295"/>
      <c r="C659" s="295"/>
      <c r="D659" s="284"/>
      <c r="E659" s="28" t="s">
        <v>450</v>
      </c>
      <c r="F659" s="105">
        <f t="shared" si="92"/>
        <v>113705.82</v>
      </c>
      <c r="G659" s="114">
        <v>1</v>
      </c>
      <c r="H659" s="105">
        <f t="shared" si="95"/>
        <v>113705.82</v>
      </c>
      <c r="I659" s="222">
        <v>3122</v>
      </c>
      <c r="J659" s="47">
        <f>100000+13705.82</f>
        <v>113705.82</v>
      </c>
      <c r="K659" s="29"/>
      <c r="L659" s="29"/>
      <c r="M659" s="29">
        <v>10000</v>
      </c>
      <c r="N659" s="29">
        <v>70000</v>
      </c>
      <c r="O659" s="29"/>
      <c r="P659" s="29"/>
      <c r="Q659" s="29">
        <f>20000+13705.82</f>
        <v>33705.82</v>
      </c>
      <c r="R659" s="29"/>
      <c r="S659" s="29"/>
      <c r="T659" s="29"/>
      <c r="U659" s="29"/>
      <c r="V659" s="29"/>
      <c r="W659" s="29">
        <f t="shared" si="93"/>
        <v>7.275957614183426E-12</v>
      </c>
      <c r="X659" s="29">
        <f>8500+4500+67000+31558.46+1607.36+540</f>
        <v>113705.81999999999</v>
      </c>
      <c r="Y659" s="29">
        <f t="shared" si="96"/>
        <v>0</v>
      </c>
    </row>
    <row r="660" spans="1:25" ht="75">
      <c r="A660" s="295"/>
      <c r="B660" s="295"/>
      <c r="C660" s="295"/>
      <c r="D660" s="284"/>
      <c r="E660" s="28" t="s">
        <v>231</v>
      </c>
      <c r="F660" s="105">
        <f>J660</f>
        <v>699887.44</v>
      </c>
      <c r="G660" s="114">
        <v>1</v>
      </c>
      <c r="H660" s="105">
        <f>J660</f>
        <v>699887.44</v>
      </c>
      <c r="I660" s="222">
        <v>3122</v>
      </c>
      <c r="J660" s="47">
        <f>670000+29887.44</f>
        <v>699887.44</v>
      </c>
      <c r="K660" s="29"/>
      <c r="L660" s="29"/>
      <c r="M660" s="29">
        <v>67000</v>
      </c>
      <c r="N660" s="29">
        <v>469000</v>
      </c>
      <c r="O660" s="29"/>
      <c r="P660" s="29"/>
      <c r="Q660" s="29">
        <f>134000+29887.44</f>
        <v>163887.44</v>
      </c>
      <c r="R660" s="29"/>
      <c r="S660" s="29"/>
      <c r="T660" s="29"/>
      <c r="U660" s="29"/>
      <c r="V660" s="29"/>
      <c r="W660" s="29">
        <f t="shared" si="93"/>
        <v>-5.820766091346741E-11</v>
      </c>
      <c r="X660" s="29">
        <f>15000+22200+434000</f>
        <v>471200</v>
      </c>
      <c r="Y660" s="29">
        <f t="shared" si="96"/>
        <v>228687.43999999994</v>
      </c>
    </row>
    <row r="661" spans="1:25" ht="77.25" customHeight="1" hidden="1">
      <c r="A661" s="295"/>
      <c r="B661" s="295"/>
      <c r="C661" s="295"/>
      <c r="D661" s="284"/>
      <c r="E661" s="28" t="s">
        <v>863</v>
      </c>
      <c r="F661" s="105">
        <f>J661</f>
        <v>0</v>
      </c>
      <c r="G661" s="114">
        <v>1</v>
      </c>
      <c r="H661" s="105">
        <f>J661</f>
        <v>0</v>
      </c>
      <c r="I661" s="222">
        <v>3122</v>
      </c>
      <c r="J661" s="47">
        <f>262000-262000</f>
        <v>0</v>
      </c>
      <c r="K661" s="29"/>
      <c r="L661" s="29"/>
      <c r="M661" s="29">
        <f>26200-26200</f>
        <v>0</v>
      </c>
      <c r="N661" s="29">
        <f>183400-183400</f>
        <v>0</v>
      </c>
      <c r="O661" s="29"/>
      <c r="P661" s="29"/>
      <c r="Q661" s="29">
        <f>52400-52400</f>
        <v>0</v>
      </c>
      <c r="R661" s="29"/>
      <c r="S661" s="29"/>
      <c r="T661" s="29"/>
      <c r="U661" s="29"/>
      <c r="V661" s="29"/>
      <c r="W661" s="29">
        <f t="shared" si="93"/>
        <v>0</v>
      </c>
      <c r="X661" s="29"/>
      <c r="Y661" s="29">
        <f t="shared" si="96"/>
        <v>0</v>
      </c>
    </row>
    <row r="662" spans="1:25" ht="75">
      <c r="A662" s="295"/>
      <c r="B662" s="295"/>
      <c r="C662" s="295"/>
      <c r="D662" s="284"/>
      <c r="E662" s="28" t="s">
        <v>1043</v>
      </c>
      <c r="F662" s="105">
        <f t="shared" si="92"/>
        <v>1500000</v>
      </c>
      <c r="G662" s="114">
        <v>1</v>
      </c>
      <c r="H662" s="105">
        <f t="shared" si="95"/>
        <v>1500000</v>
      </c>
      <c r="I662" s="222">
        <v>3122</v>
      </c>
      <c r="J662" s="47">
        <v>1500000</v>
      </c>
      <c r="K662" s="29"/>
      <c r="L662" s="29"/>
      <c r="M662" s="29">
        <v>700000</v>
      </c>
      <c r="N662" s="29"/>
      <c r="O662" s="29"/>
      <c r="P662" s="29">
        <v>400000</v>
      </c>
      <c r="Q662" s="29">
        <f>800000-400000-500000</f>
        <v>-100000</v>
      </c>
      <c r="R662" s="29"/>
      <c r="S662" s="29"/>
      <c r="T662" s="29"/>
      <c r="U662" s="29">
        <v>500000</v>
      </c>
      <c r="V662" s="29"/>
      <c r="W662" s="29">
        <f t="shared" si="93"/>
        <v>0</v>
      </c>
      <c r="X662" s="29">
        <f>450000+94640.49+450000</f>
        <v>994640.49</v>
      </c>
      <c r="Y662" s="29">
        <f t="shared" si="96"/>
        <v>5359.510000000009</v>
      </c>
    </row>
    <row r="663" spans="1:25" ht="56.25">
      <c r="A663" s="295"/>
      <c r="B663" s="296"/>
      <c r="C663" s="295"/>
      <c r="D663" s="284"/>
      <c r="E663" s="28" t="s">
        <v>451</v>
      </c>
      <c r="F663" s="105">
        <f t="shared" si="92"/>
        <v>645136</v>
      </c>
      <c r="G663" s="114">
        <v>1</v>
      </c>
      <c r="H663" s="105">
        <f t="shared" si="95"/>
        <v>645136</v>
      </c>
      <c r="I663" s="222">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3"/>
        <v>0</v>
      </c>
      <c r="X663" s="29"/>
      <c r="Y663" s="29">
        <f t="shared" si="96"/>
        <v>0</v>
      </c>
    </row>
    <row r="664" spans="1:25" ht="18.75" customHeight="1">
      <c r="A664" s="291" t="s">
        <v>384</v>
      </c>
      <c r="B664" s="291" t="s">
        <v>385</v>
      </c>
      <c r="C664" s="291" t="s">
        <v>217</v>
      </c>
      <c r="D664" s="283" t="s">
        <v>700</v>
      </c>
      <c r="E664" s="73"/>
      <c r="F664" s="73"/>
      <c r="G664" s="73"/>
      <c r="H664" s="73"/>
      <c r="I664" s="260"/>
      <c r="J664" s="60">
        <f>SUM(J665:J666)</f>
        <v>1000000</v>
      </c>
      <c r="K664" s="60">
        <f aca="true" t="shared" si="97" ref="K664:X664">SUM(K665:K666)</f>
        <v>0</v>
      </c>
      <c r="L664" s="60">
        <f t="shared" si="97"/>
        <v>0</v>
      </c>
      <c r="M664" s="60">
        <f t="shared" si="97"/>
        <v>0</v>
      </c>
      <c r="N664" s="60">
        <f t="shared" si="97"/>
        <v>0</v>
      </c>
      <c r="O664" s="60">
        <f t="shared" si="97"/>
        <v>0</v>
      </c>
      <c r="P664" s="60">
        <f t="shared" si="97"/>
        <v>0</v>
      </c>
      <c r="Q664" s="60">
        <f t="shared" si="97"/>
        <v>0</v>
      </c>
      <c r="R664" s="60">
        <f t="shared" si="97"/>
        <v>0</v>
      </c>
      <c r="S664" s="60">
        <f t="shared" si="97"/>
        <v>0</v>
      </c>
      <c r="T664" s="60">
        <f t="shared" si="97"/>
        <v>0</v>
      </c>
      <c r="U664" s="60">
        <f t="shared" si="97"/>
        <v>1000000</v>
      </c>
      <c r="V664" s="60">
        <f t="shared" si="97"/>
        <v>0</v>
      </c>
      <c r="W664" s="60">
        <f t="shared" si="97"/>
        <v>0</v>
      </c>
      <c r="X664" s="60">
        <f t="shared" si="97"/>
        <v>0</v>
      </c>
      <c r="Y664" s="29">
        <f t="shared" si="96"/>
        <v>0</v>
      </c>
    </row>
    <row r="665" spans="1:25" ht="36" hidden="1">
      <c r="A665" s="293"/>
      <c r="B665" s="293"/>
      <c r="C665" s="293"/>
      <c r="D665" s="284"/>
      <c r="E665" s="74" t="s">
        <v>1077</v>
      </c>
      <c r="F665" s="74"/>
      <c r="G665" s="74"/>
      <c r="H665" s="74"/>
      <c r="I665" s="261">
        <v>3110</v>
      </c>
      <c r="J665" s="47">
        <f>1000000-1000000</f>
        <v>0</v>
      </c>
      <c r="K665" s="29"/>
      <c r="L665" s="29"/>
      <c r="M665" s="29"/>
      <c r="N665" s="29"/>
      <c r="O665" s="29"/>
      <c r="P665" s="29"/>
      <c r="Q665" s="29"/>
      <c r="R665" s="29"/>
      <c r="S665" s="29"/>
      <c r="T665" s="29">
        <f>1000000-1000000</f>
        <v>0</v>
      </c>
      <c r="U665" s="29"/>
      <c r="V665" s="29"/>
      <c r="W665" s="29">
        <f t="shared" si="93"/>
        <v>0</v>
      </c>
      <c r="X665" s="29"/>
      <c r="Y665" s="29">
        <f t="shared" si="96"/>
        <v>0</v>
      </c>
    </row>
    <row r="666" spans="1:25" ht="37.5">
      <c r="A666" s="292"/>
      <c r="B666" s="292"/>
      <c r="C666" s="292"/>
      <c r="D666" s="301"/>
      <c r="E666" s="74" t="s">
        <v>1101</v>
      </c>
      <c r="F666" s="74"/>
      <c r="G666" s="74"/>
      <c r="H666" s="74"/>
      <c r="I666" s="261">
        <v>3110</v>
      </c>
      <c r="J666" s="47">
        <v>1000000</v>
      </c>
      <c r="K666" s="29"/>
      <c r="L666" s="29"/>
      <c r="M666" s="29"/>
      <c r="N666" s="29"/>
      <c r="O666" s="29"/>
      <c r="P666" s="29"/>
      <c r="Q666" s="29"/>
      <c r="R666" s="29"/>
      <c r="S666" s="29"/>
      <c r="T666" s="29"/>
      <c r="U666" s="29">
        <v>1000000</v>
      </c>
      <c r="V666" s="29"/>
      <c r="W666" s="29">
        <f t="shared" si="93"/>
        <v>0</v>
      </c>
      <c r="X666" s="29"/>
      <c r="Y666" s="29">
        <f t="shared" si="96"/>
        <v>0</v>
      </c>
    </row>
    <row r="667" spans="1:25" ht="18.75">
      <c r="A667" s="294" t="s">
        <v>386</v>
      </c>
      <c r="B667" s="294" t="s">
        <v>340</v>
      </c>
      <c r="C667" s="294" t="s">
        <v>701</v>
      </c>
      <c r="D667" s="283" t="s">
        <v>972</v>
      </c>
      <c r="E667" s="73"/>
      <c r="F667" s="73"/>
      <c r="G667" s="73"/>
      <c r="H667" s="73"/>
      <c r="I667" s="260"/>
      <c r="J667" s="60">
        <f>SUM(J668:J799)</f>
        <v>93149169.5</v>
      </c>
      <c r="K667" s="60">
        <f aca="true" t="shared" si="98" ref="K667:X667">SUM(K668:K799)</f>
        <v>0</v>
      </c>
      <c r="L667" s="60">
        <f t="shared" si="98"/>
        <v>894745</v>
      </c>
      <c r="M667" s="60">
        <f t="shared" si="98"/>
        <v>20489079</v>
      </c>
      <c r="N667" s="60">
        <f t="shared" si="98"/>
        <v>5649336</v>
      </c>
      <c r="O667" s="60">
        <f t="shared" si="98"/>
        <v>7180675</v>
      </c>
      <c r="P667" s="60">
        <f t="shared" si="98"/>
        <v>5489425.109999999</v>
      </c>
      <c r="Q667" s="60">
        <f t="shared" si="98"/>
        <v>11263395.24</v>
      </c>
      <c r="R667" s="60">
        <f t="shared" si="98"/>
        <v>13671209.64</v>
      </c>
      <c r="S667" s="60">
        <f t="shared" si="98"/>
        <v>3144525.89</v>
      </c>
      <c r="T667" s="60">
        <f t="shared" si="98"/>
        <v>6882516.57</v>
      </c>
      <c r="U667" s="60">
        <f t="shared" si="98"/>
        <v>8321277.73</v>
      </c>
      <c r="V667" s="60">
        <f t="shared" si="98"/>
        <v>10162984.32</v>
      </c>
      <c r="W667" s="60">
        <f t="shared" si="98"/>
        <v>-9.458744898438454E-11</v>
      </c>
      <c r="X667" s="60">
        <f t="shared" si="98"/>
        <v>54336935.92</v>
      </c>
      <c r="Y667" s="29">
        <f t="shared" si="96"/>
        <v>20327971.529999986</v>
      </c>
    </row>
    <row r="668" spans="1:25" ht="75">
      <c r="A668" s="295"/>
      <c r="B668" s="295"/>
      <c r="C668" s="295"/>
      <c r="D668" s="284"/>
      <c r="E668" s="73" t="s">
        <v>1055</v>
      </c>
      <c r="F668" s="105">
        <f>J668</f>
        <v>767000</v>
      </c>
      <c r="G668" s="114">
        <v>1</v>
      </c>
      <c r="H668" s="105">
        <f aca="true" t="shared" si="99" ref="H668:H737">J668</f>
        <v>767000</v>
      </c>
      <c r="I668" s="222">
        <v>3132</v>
      </c>
      <c r="J668" s="54">
        <v>767000</v>
      </c>
      <c r="K668" s="182"/>
      <c r="L668" s="182"/>
      <c r="M668" s="182"/>
      <c r="N668" s="182"/>
      <c r="O668" s="182"/>
      <c r="P668" s="182"/>
      <c r="Q668" s="182">
        <v>76700</v>
      </c>
      <c r="R668" s="182">
        <v>536900</v>
      </c>
      <c r="S668" s="182"/>
      <c r="T668" s="182">
        <v>153400</v>
      </c>
      <c r="U668" s="182"/>
      <c r="V668" s="182"/>
      <c r="W668" s="29">
        <f t="shared" si="93"/>
        <v>0</v>
      </c>
      <c r="X668" s="29">
        <f>42000</f>
        <v>42000</v>
      </c>
      <c r="Y668" s="29">
        <f t="shared" si="96"/>
        <v>725000</v>
      </c>
    </row>
    <row r="669" spans="1:25" ht="43.5" customHeight="1" hidden="1">
      <c r="A669" s="295"/>
      <c r="B669" s="295"/>
      <c r="C669" s="295"/>
      <c r="D669" s="284"/>
      <c r="E669" s="73" t="s">
        <v>1113</v>
      </c>
      <c r="F669" s="105">
        <f aca="true" t="shared" si="100" ref="F669:F738">J669</f>
        <v>0</v>
      </c>
      <c r="G669" s="114">
        <v>1</v>
      </c>
      <c r="H669" s="105">
        <f t="shared" si="99"/>
        <v>0</v>
      </c>
      <c r="I669" s="222">
        <v>3132</v>
      </c>
      <c r="J669" s="54">
        <f>80000-80000</f>
        <v>0</v>
      </c>
      <c r="K669" s="182"/>
      <c r="L669" s="182"/>
      <c r="M669" s="182"/>
      <c r="N669" s="182"/>
      <c r="O669" s="182"/>
      <c r="P669" s="182"/>
      <c r="Q669" s="182">
        <f>8000-8000</f>
        <v>0</v>
      </c>
      <c r="R669" s="182">
        <f>56000-56000</f>
        <v>0</v>
      </c>
      <c r="S669" s="182"/>
      <c r="T669" s="182">
        <f>16000-16000</f>
        <v>0</v>
      </c>
      <c r="U669" s="182"/>
      <c r="V669" s="182"/>
      <c r="W669" s="29">
        <f t="shared" si="93"/>
        <v>0</v>
      </c>
      <c r="X669" s="29"/>
      <c r="Y669" s="29">
        <f t="shared" si="96"/>
        <v>0</v>
      </c>
    </row>
    <row r="670" spans="1:25" ht="43.5" customHeight="1" hidden="1">
      <c r="A670" s="295"/>
      <c r="B670" s="295"/>
      <c r="C670" s="295"/>
      <c r="D670" s="284"/>
      <c r="E670" s="73" t="s">
        <v>1078</v>
      </c>
      <c r="F670" s="105">
        <f t="shared" si="100"/>
        <v>0</v>
      </c>
      <c r="G670" s="114">
        <v>1</v>
      </c>
      <c r="H670" s="105">
        <f t="shared" si="99"/>
        <v>0</v>
      </c>
      <c r="I670" s="222">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3"/>
        <v>0</v>
      </c>
      <c r="X670" s="29"/>
      <c r="Y670" s="29">
        <f t="shared" si="96"/>
        <v>0</v>
      </c>
    </row>
    <row r="671" spans="1:25" ht="62.25" customHeight="1" hidden="1">
      <c r="A671" s="295"/>
      <c r="B671" s="295"/>
      <c r="C671" s="295"/>
      <c r="D671" s="284"/>
      <c r="E671" s="73" t="s">
        <v>757</v>
      </c>
      <c r="F671" s="105">
        <f t="shared" si="100"/>
        <v>0</v>
      </c>
      <c r="G671" s="114">
        <v>1</v>
      </c>
      <c r="H671" s="105">
        <f t="shared" si="99"/>
        <v>0</v>
      </c>
      <c r="I671" s="222">
        <v>3132</v>
      </c>
      <c r="J671" s="54">
        <f>153400-153400</f>
        <v>0</v>
      </c>
      <c r="K671" s="182"/>
      <c r="L671" s="182"/>
      <c r="M671" s="182"/>
      <c r="N671" s="182"/>
      <c r="O671" s="182"/>
      <c r="P671" s="182"/>
      <c r="Q671" s="182">
        <v>15340</v>
      </c>
      <c r="R671" s="182">
        <f>107380-122720</f>
        <v>-15340</v>
      </c>
      <c r="S671" s="182"/>
      <c r="T671" s="182">
        <f>30680-30680</f>
        <v>0</v>
      </c>
      <c r="U671" s="182"/>
      <c r="V671" s="182"/>
      <c r="W671" s="29">
        <f t="shared" si="93"/>
        <v>0</v>
      </c>
      <c r="X671" s="29"/>
      <c r="Y671" s="29">
        <f t="shared" si="96"/>
        <v>0</v>
      </c>
    </row>
    <row r="672" spans="1:25" ht="36" hidden="1">
      <c r="A672" s="295"/>
      <c r="B672" s="295"/>
      <c r="C672" s="295"/>
      <c r="D672" s="284"/>
      <c r="E672" s="73" t="s">
        <v>538</v>
      </c>
      <c r="F672" s="105">
        <f t="shared" si="100"/>
        <v>0</v>
      </c>
      <c r="G672" s="114">
        <v>1</v>
      </c>
      <c r="H672" s="105">
        <f t="shared" si="99"/>
        <v>0</v>
      </c>
      <c r="I672" s="222">
        <v>3132</v>
      </c>
      <c r="J672" s="54">
        <f>153400-153400</f>
        <v>0</v>
      </c>
      <c r="K672" s="182"/>
      <c r="L672" s="182"/>
      <c r="M672" s="182"/>
      <c r="N672" s="182"/>
      <c r="O672" s="182"/>
      <c r="P672" s="182"/>
      <c r="Q672" s="182">
        <v>15340</v>
      </c>
      <c r="R672" s="182">
        <f>107380-122720</f>
        <v>-15340</v>
      </c>
      <c r="S672" s="182"/>
      <c r="T672" s="182">
        <f>30680-30680</f>
        <v>0</v>
      </c>
      <c r="U672" s="182"/>
      <c r="V672" s="182"/>
      <c r="W672" s="29">
        <f t="shared" si="93"/>
        <v>0</v>
      </c>
      <c r="X672" s="29"/>
      <c r="Y672" s="29">
        <f t="shared" si="96"/>
        <v>0</v>
      </c>
    </row>
    <row r="673" spans="1:25" ht="93.75">
      <c r="A673" s="295"/>
      <c r="B673" s="295"/>
      <c r="C673" s="295"/>
      <c r="D673" s="284"/>
      <c r="E673" s="73" t="s">
        <v>544</v>
      </c>
      <c r="F673" s="105">
        <f t="shared" si="100"/>
        <v>200000</v>
      </c>
      <c r="G673" s="114">
        <v>1</v>
      </c>
      <c r="H673" s="105">
        <f t="shared" si="99"/>
        <v>200000</v>
      </c>
      <c r="I673" s="222">
        <v>3132</v>
      </c>
      <c r="J673" s="54">
        <v>200000</v>
      </c>
      <c r="K673" s="182"/>
      <c r="L673" s="182"/>
      <c r="M673" s="182"/>
      <c r="N673" s="182"/>
      <c r="O673" s="182"/>
      <c r="P673" s="182"/>
      <c r="Q673" s="182">
        <v>20000</v>
      </c>
      <c r="R673" s="182">
        <v>140000</v>
      </c>
      <c r="S673" s="182"/>
      <c r="T673" s="182">
        <v>40000</v>
      </c>
      <c r="U673" s="182"/>
      <c r="V673" s="182"/>
      <c r="W673" s="29">
        <f t="shared" si="93"/>
        <v>0</v>
      </c>
      <c r="X673" s="29"/>
      <c r="Y673" s="29">
        <f t="shared" si="96"/>
        <v>200000</v>
      </c>
    </row>
    <row r="674" spans="1:25" ht="75">
      <c r="A674" s="295"/>
      <c r="B674" s="295"/>
      <c r="C674" s="295"/>
      <c r="D674" s="284"/>
      <c r="E674" s="73" t="s">
        <v>570</v>
      </c>
      <c r="F674" s="105">
        <f t="shared" si="100"/>
        <v>100000</v>
      </c>
      <c r="G674" s="114">
        <v>1</v>
      </c>
      <c r="H674" s="105">
        <f t="shared" si="99"/>
        <v>100000</v>
      </c>
      <c r="I674" s="222">
        <v>3132</v>
      </c>
      <c r="J674" s="54">
        <v>100000</v>
      </c>
      <c r="K674" s="182"/>
      <c r="L674" s="182"/>
      <c r="M674" s="182"/>
      <c r="N674" s="182"/>
      <c r="O674" s="182"/>
      <c r="P674" s="182"/>
      <c r="Q674" s="182">
        <v>10000</v>
      </c>
      <c r="R674" s="182">
        <v>70000</v>
      </c>
      <c r="S674" s="182"/>
      <c r="T674" s="182">
        <v>20000</v>
      </c>
      <c r="U674" s="182"/>
      <c r="V674" s="182"/>
      <c r="W674" s="29">
        <f t="shared" si="93"/>
        <v>0</v>
      </c>
      <c r="X674" s="29"/>
      <c r="Y674" s="29">
        <f t="shared" si="96"/>
        <v>100000</v>
      </c>
    </row>
    <row r="675" spans="1:25" ht="75">
      <c r="A675" s="295"/>
      <c r="B675" s="295"/>
      <c r="C675" s="295"/>
      <c r="D675" s="284"/>
      <c r="E675" s="73" t="s">
        <v>1064</v>
      </c>
      <c r="F675" s="105">
        <f t="shared" si="100"/>
        <v>100000</v>
      </c>
      <c r="G675" s="114">
        <v>1</v>
      </c>
      <c r="H675" s="105">
        <f t="shared" si="99"/>
        <v>100000</v>
      </c>
      <c r="I675" s="222">
        <v>3132</v>
      </c>
      <c r="J675" s="54">
        <v>100000</v>
      </c>
      <c r="K675" s="182"/>
      <c r="L675" s="182"/>
      <c r="M675" s="182"/>
      <c r="N675" s="182"/>
      <c r="O675" s="182"/>
      <c r="P675" s="182"/>
      <c r="Q675" s="182">
        <v>10000</v>
      </c>
      <c r="R675" s="182">
        <v>70000</v>
      </c>
      <c r="S675" s="182"/>
      <c r="T675" s="182">
        <v>20000</v>
      </c>
      <c r="U675" s="182"/>
      <c r="V675" s="182"/>
      <c r="W675" s="29">
        <f aca="true" t="shared" si="101" ref="W675:W745">J675-K675-L675-M675-N675-O675-P675-Q675-R675-S675-T675-U675-V675</f>
        <v>0</v>
      </c>
      <c r="X675" s="29"/>
      <c r="Y675" s="29">
        <f t="shared" si="96"/>
        <v>100000</v>
      </c>
    </row>
    <row r="676" spans="1:25" ht="66.75" customHeight="1">
      <c r="A676" s="295"/>
      <c r="B676" s="295"/>
      <c r="C676" s="295"/>
      <c r="D676" s="284"/>
      <c r="E676" s="73" t="s">
        <v>132</v>
      </c>
      <c r="F676" s="105">
        <f t="shared" si="100"/>
        <v>225600</v>
      </c>
      <c r="G676" s="114">
        <v>1</v>
      </c>
      <c r="H676" s="105">
        <f t="shared" si="99"/>
        <v>225600</v>
      </c>
      <c r="I676" s="222">
        <v>3132</v>
      </c>
      <c r="J676" s="54">
        <v>225600</v>
      </c>
      <c r="K676" s="182"/>
      <c r="L676" s="182"/>
      <c r="M676" s="182"/>
      <c r="N676" s="182"/>
      <c r="O676" s="182"/>
      <c r="P676" s="182"/>
      <c r="Q676" s="182">
        <v>22560</v>
      </c>
      <c r="R676" s="182">
        <v>157920</v>
      </c>
      <c r="S676" s="182"/>
      <c r="T676" s="182">
        <v>45120</v>
      </c>
      <c r="U676" s="182"/>
      <c r="V676" s="182"/>
      <c r="W676" s="29">
        <f t="shared" si="101"/>
        <v>0</v>
      </c>
      <c r="X676" s="29">
        <f>44000</f>
        <v>44000</v>
      </c>
      <c r="Y676" s="29">
        <f t="shared" si="96"/>
        <v>181600</v>
      </c>
    </row>
    <row r="677" spans="1:25" ht="65.25" customHeight="1">
      <c r="A677" s="295"/>
      <c r="B677" s="295"/>
      <c r="C677" s="295"/>
      <c r="D677" s="284"/>
      <c r="E677" s="73" t="s">
        <v>105</v>
      </c>
      <c r="F677" s="105">
        <f t="shared" si="100"/>
        <v>225700</v>
      </c>
      <c r="G677" s="114">
        <v>1</v>
      </c>
      <c r="H677" s="105">
        <f t="shared" si="99"/>
        <v>225700</v>
      </c>
      <c r="I677" s="222">
        <v>3132</v>
      </c>
      <c r="J677" s="54">
        <v>225700</v>
      </c>
      <c r="K677" s="182"/>
      <c r="L677" s="182"/>
      <c r="M677" s="182"/>
      <c r="N677" s="182"/>
      <c r="O677" s="182"/>
      <c r="P677" s="182"/>
      <c r="Q677" s="182">
        <v>22570</v>
      </c>
      <c r="R677" s="182">
        <v>157990</v>
      </c>
      <c r="S677" s="182"/>
      <c r="T677" s="182">
        <v>45140</v>
      </c>
      <c r="U677" s="182"/>
      <c r="V677" s="182"/>
      <c r="W677" s="29">
        <f t="shared" si="101"/>
        <v>0</v>
      </c>
      <c r="X677" s="29">
        <f>51000</f>
        <v>51000</v>
      </c>
      <c r="Y677" s="29">
        <f t="shared" si="96"/>
        <v>174700</v>
      </c>
    </row>
    <row r="678" spans="1:25" ht="79.5" customHeight="1">
      <c r="A678" s="295"/>
      <c r="B678" s="295"/>
      <c r="C678" s="295"/>
      <c r="D678" s="284"/>
      <c r="E678" s="73" t="s">
        <v>873</v>
      </c>
      <c r="F678" s="105">
        <f t="shared" si="100"/>
        <v>600000</v>
      </c>
      <c r="G678" s="114">
        <v>1</v>
      </c>
      <c r="H678" s="105">
        <f t="shared" si="99"/>
        <v>600000</v>
      </c>
      <c r="I678" s="222">
        <v>3132</v>
      </c>
      <c r="J678" s="54">
        <v>600000</v>
      </c>
      <c r="K678" s="182"/>
      <c r="L678" s="182"/>
      <c r="M678" s="182"/>
      <c r="N678" s="182"/>
      <c r="O678" s="182"/>
      <c r="P678" s="182"/>
      <c r="Q678" s="182">
        <v>60000</v>
      </c>
      <c r="R678" s="182">
        <v>420000</v>
      </c>
      <c r="S678" s="182"/>
      <c r="T678" s="182">
        <v>120000</v>
      </c>
      <c r="U678" s="182"/>
      <c r="V678" s="182"/>
      <c r="W678" s="29">
        <f t="shared" si="101"/>
        <v>0</v>
      </c>
      <c r="X678" s="29"/>
      <c r="Y678" s="29">
        <f t="shared" si="96"/>
        <v>600000</v>
      </c>
    </row>
    <row r="679" spans="1:25" ht="62.25" customHeight="1" hidden="1">
      <c r="A679" s="295"/>
      <c r="B679" s="295"/>
      <c r="C679" s="295"/>
      <c r="D679" s="284"/>
      <c r="E679" s="73" t="s">
        <v>77</v>
      </c>
      <c r="F679" s="105">
        <f t="shared" si="100"/>
        <v>0</v>
      </c>
      <c r="G679" s="114">
        <v>1</v>
      </c>
      <c r="H679" s="105">
        <f t="shared" si="99"/>
        <v>0</v>
      </c>
      <c r="I679" s="222">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1"/>
        <v>0</v>
      </c>
      <c r="X679" s="29"/>
      <c r="Y679" s="29">
        <f t="shared" si="96"/>
        <v>0</v>
      </c>
    </row>
    <row r="680" spans="1:25" ht="63" customHeight="1">
      <c r="A680" s="295"/>
      <c r="B680" s="295"/>
      <c r="C680" s="295"/>
      <c r="D680" s="284"/>
      <c r="E680" s="73" t="s">
        <v>668</v>
      </c>
      <c r="F680" s="105">
        <f t="shared" si="100"/>
        <v>620000</v>
      </c>
      <c r="G680" s="114">
        <v>1</v>
      </c>
      <c r="H680" s="105">
        <f t="shared" si="99"/>
        <v>620000</v>
      </c>
      <c r="I680" s="222">
        <v>3132</v>
      </c>
      <c r="J680" s="54">
        <v>620000</v>
      </c>
      <c r="K680" s="182"/>
      <c r="L680" s="182"/>
      <c r="M680" s="182"/>
      <c r="N680" s="182"/>
      <c r="O680" s="182"/>
      <c r="P680" s="182"/>
      <c r="Q680" s="182">
        <v>62000</v>
      </c>
      <c r="R680" s="182">
        <f>434000-496000</f>
        <v>-62000</v>
      </c>
      <c r="S680" s="182"/>
      <c r="T680" s="182">
        <f>124000+496000-406942.49</f>
        <v>213057.51</v>
      </c>
      <c r="U680" s="182">
        <v>406942.49</v>
      </c>
      <c r="V680" s="182"/>
      <c r="W680" s="29">
        <f t="shared" si="101"/>
        <v>0</v>
      </c>
      <c r="X680" s="29"/>
      <c r="Y680" s="29">
        <f t="shared" si="96"/>
        <v>213057.51</v>
      </c>
    </row>
    <row r="681" spans="1:25" ht="45.75" customHeight="1" hidden="1">
      <c r="A681" s="295"/>
      <c r="B681" s="295"/>
      <c r="C681" s="295"/>
      <c r="D681" s="284"/>
      <c r="E681" s="73" t="s">
        <v>1036</v>
      </c>
      <c r="F681" s="105">
        <f t="shared" si="100"/>
        <v>0</v>
      </c>
      <c r="G681" s="114">
        <v>1</v>
      </c>
      <c r="H681" s="105">
        <f t="shared" si="99"/>
        <v>0</v>
      </c>
      <c r="I681" s="222">
        <v>3132</v>
      </c>
      <c r="J681" s="54">
        <f>80000-80000</f>
        <v>0</v>
      </c>
      <c r="K681" s="182"/>
      <c r="L681" s="182"/>
      <c r="M681" s="182"/>
      <c r="N681" s="182"/>
      <c r="O681" s="182"/>
      <c r="P681" s="182"/>
      <c r="Q681" s="182">
        <f>8000-8000</f>
        <v>0</v>
      </c>
      <c r="R681" s="182">
        <f>56000-56000</f>
        <v>0</v>
      </c>
      <c r="S681" s="182"/>
      <c r="T681" s="182">
        <f>16000-16000</f>
        <v>0</v>
      </c>
      <c r="U681" s="182"/>
      <c r="V681" s="182"/>
      <c r="W681" s="29">
        <f t="shared" si="101"/>
        <v>0</v>
      </c>
      <c r="X681" s="29"/>
      <c r="Y681" s="29">
        <f t="shared" si="96"/>
        <v>0</v>
      </c>
    </row>
    <row r="682" spans="1:25" ht="75">
      <c r="A682" s="295"/>
      <c r="B682" s="295"/>
      <c r="C682" s="295"/>
      <c r="D682" s="284"/>
      <c r="E682" s="73" t="s">
        <v>1065</v>
      </c>
      <c r="F682" s="105">
        <f t="shared" si="100"/>
        <v>200000</v>
      </c>
      <c r="G682" s="114">
        <v>1</v>
      </c>
      <c r="H682" s="105">
        <f t="shared" si="99"/>
        <v>200000</v>
      </c>
      <c r="I682" s="222">
        <v>3132</v>
      </c>
      <c r="J682" s="54">
        <v>200000</v>
      </c>
      <c r="K682" s="182"/>
      <c r="L682" s="182"/>
      <c r="M682" s="182"/>
      <c r="N682" s="182"/>
      <c r="O682" s="182"/>
      <c r="P682" s="182"/>
      <c r="Q682" s="182">
        <v>20000</v>
      </c>
      <c r="R682" s="182">
        <v>140000</v>
      </c>
      <c r="S682" s="182"/>
      <c r="T682" s="182">
        <v>40000</v>
      </c>
      <c r="U682" s="182"/>
      <c r="V682" s="182"/>
      <c r="W682" s="29">
        <f t="shared" si="101"/>
        <v>0</v>
      </c>
      <c r="X682" s="29"/>
      <c r="Y682" s="29">
        <f t="shared" si="96"/>
        <v>200000</v>
      </c>
    </row>
    <row r="683" spans="1:25" ht="75">
      <c r="A683" s="295"/>
      <c r="B683" s="295"/>
      <c r="C683" s="295"/>
      <c r="D683" s="284"/>
      <c r="E683" s="73" t="s">
        <v>1066</v>
      </c>
      <c r="F683" s="105">
        <f t="shared" si="100"/>
        <v>100000</v>
      </c>
      <c r="G683" s="114">
        <v>1</v>
      </c>
      <c r="H683" s="105">
        <f t="shared" si="99"/>
        <v>100000</v>
      </c>
      <c r="I683" s="222">
        <v>3132</v>
      </c>
      <c r="J683" s="54">
        <v>100000</v>
      </c>
      <c r="K683" s="182"/>
      <c r="L683" s="182"/>
      <c r="M683" s="182"/>
      <c r="N683" s="182"/>
      <c r="O683" s="182"/>
      <c r="P683" s="182"/>
      <c r="Q683" s="182">
        <v>10000</v>
      </c>
      <c r="R683" s="182">
        <v>70000</v>
      </c>
      <c r="S683" s="182"/>
      <c r="T683" s="182">
        <v>20000</v>
      </c>
      <c r="U683" s="182"/>
      <c r="V683" s="182"/>
      <c r="W683" s="29">
        <f t="shared" si="101"/>
        <v>0</v>
      </c>
      <c r="X683" s="29"/>
      <c r="Y683" s="29">
        <f t="shared" si="96"/>
        <v>100000</v>
      </c>
    </row>
    <row r="684" spans="1:25" ht="36" hidden="1">
      <c r="A684" s="295"/>
      <c r="B684" s="295"/>
      <c r="C684" s="295"/>
      <c r="D684" s="284"/>
      <c r="E684" s="73" t="s">
        <v>1042</v>
      </c>
      <c r="F684" s="105">
        <f>J684</f>
        <v>0</v>
      </c>
      <c r="G684" s="114">
        <v>1</v>
      </c>
      <c r="H684" s="105">
        <f>J684</f>
        <v>0</v>
      </c>
      <c r="I684" s="222">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9">
        <f t="shared" si="96"/>
        <v>0</v>
      </c>
    </row>
    <row r="685" spans="1:25" ht="36" hidden="1">
      <c r="A685" s="295"/>
      <c r="B685" s="295"/>
      <c r="C685" s="295"/>
      <c r="D685" s="284"/>
      <c r="E685" s="73" t="s">
        <v>545</v>
      </c>
      <c r="F685" s="105">
        <f>J685</f>
        <v>0</v>
      </c>
      <c r="G685" s="114"/>
      <c r="H685" s="105">
        <f>J685</f>
        <v>0</v>
      </c>
      <c r="I685" s="222">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9">
        <f t="shared" si="96"/>
        <v>0</v>
      </c>
    </row>
    <row r="686" spans="1:25" ht="93.75">
      <c r="A686" s="295"/>
      <c r="B686" s="295"/>
      <c r="C686" s="295"/>
      <c r="D686" s="284"/>
      <c r="E686" s="73" t="s">
        <v>502</v>
      </c>
      <c r="F686" s="105">
        <f>J686</f>
        <v>167000</v>
      </c>
      <c r="G686" s="114"/>
      <c r="H686" s="105">
        <f>J686</f>
        <v>167000</v>
      </c>
      <c r="I686" s="222">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9">
        <f t="shared" si="96"/>
        <v>148000</v>
      </c>
    </row>
    <row r="687" spans="1:25" ht="60" customHeight="1">
      <c r="A687" s="295"/>
      <c r="B687" s="295"/>
      <c r="C687" s="295"/>
      <c r="D687" s="284"/>
      <c r="E687" s="73" t="s">
        <v>1067</v>
      </c>
      <c r="F687" s="105">
        <f t="shared" si="100"/>
        <v>460200</v>
      </c>
      <c r="G687" s="114">
        <v>1</v>
      </c>
      <c r="H687" s="105">
        <f t="shared" si="99"/>
        <v>460200</v>
      </c>
      <c r="I687" s="222">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1"/>
        <v>0</v>
      </c>
      <c r="X687" s="29"/>
      <c r="Y687" s="29">
        <f t="shared" si="96"/>
        <v>460200</v>
      </c>
    </row>
    <row r="688" spans="1:25" ht="36" hidden="1">
      <c r="A688" s="295"/>
      <c r="B688" s="295"/>
      <c r="C688" s="295"/>
      <c r="D688" s="284"/>
      <c r="E688" s="73" t="s">
        <v>162</v>
      </c>
      <c r="F688" s="105">
        <f t="shared" si="100"/>
        <v>0</v>
      </c>
      <c r="G688" s="114">
        <v>1</v>
      </c>
      <c r="H688" s="105">
        <f t="shared" si="99"/>
        <v>0</v>
      </c>
      <c r="I688" s="222">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1"/>
        <v>0</v>
      </c>
      <c r="X688" s="29"/>
      <c r="Y688" s="29">
        <f t="shared" si="96"/>
        <v>0</v>
      </c>
    </row>
    <row r="689" spans="1:25" ht="63" customHeight="1">
      <c r="A689" s="295"/>
      <c r="B689" s="295"/>
      <c r="C689" s="295"/>
      <c r="D689" s="284"/>
      <c r="E689" s="73" t="s">
        <v>1176</v>
      </c>
      <c r="F689" s="105">
        <f t="shared" si="100"/>
        <v>306800</v>
      </c>
      <c r="G689" s="114">
        <v>1</v>
      </c>
      <c r="H689" s="105">
        <f t="shared" si="99"/>
        <v>306800</v>
      </c>
      <c r="I689" s="222">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1"/>
        <v>0</v>
      </c>
      <c r="X689" s="29"/>
      <c r="Y689" s="29">
        <f t="shared" si="96"/>
        <v>306800</v>
      </c>
    </row>
    <row r="690" spans="1:25" ht="98.25" customHeight="1">
      <c r="A690" s="295"/>
      <c r="B690" s="295"/>
      <c r="C690" s="295"/>
      <c r="D690" s="284"/>
      <c r="E690" s="73" t="s">
        <v>1240</v>
      </c>
      <c r="F690" s="105">
        <f t="shared" si="100"/>
        <v>560000</v>
      </c>
      <c r="G690" s="114">
        <v>1</v>
      </c>
      <c r="H690" s="105">
        <f t="shared" si="99"/>
        <v>560000</v>
      </c>
      <c r="I690" s="222">
        <v>3132</v>
      </c>
      <c r="J690" s="54">
        <v>560000</v>
      </c>
      <c r="K690" s="182"/>
      <c r="L690" s="182"/>
      <c r="M690" s="182"/>
      <c r="N690" s="182"/>
      <c r="O690" s="182"/>
      <c r="P690" s="182"/>
      <c r="Q690" s="182">
        <v>56000</v>
      </c>
      <c r="R690" s="182">
        <v>392000</v>
      </c>
      <c r="S690" s="182"/>
      <c r="T690" s="182">
        <v>112000</v>
      </c>
      <c r="U690" s="182"/>
      <c r="V690" s="182"/>
      <c r="W690" s="29">
        <f t="shared" si="101"/>
        <v>0</v>
      </c>
      <c r="X690" s="29">
        <f>37000</f>
        <v>37000</v>
      </c>
      <c r="Y690" s="29">
        <f t="shared" si="96"/>
        <v>523000</v>
      </c>
    </row>
    <row r="691" spans="1:25" ht="56.25">
      <c r="A691" s="295"/>
      <c r="B691" s="295"/>
      <c r="C691" s="295"/>
      <c r="D691" s="284"/>
      <c r="E691" s="73" t="s">
        <v>312</v>
      </c>
      <c r="F691" s="105">
        <f t="shared" si="100"/>
        <v>1534000</v>
      </c>
      <c r="G691" s="114">
        <v>1</v>
      </c>
      <c r="H691" s="105">
        <f t="shared" si="99"/>
        <v>1534000</v>
      </c>
      <c r="I691" s="222">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1"/>
        <v>0</v>
      </c>
      <c r="X691" s="29">
        <f>21450.2+1000000</f>
        <v>1021450.2</v>
      </c>
      <c r="Y691" s="29">
        <f t="shared" si="96"/>
        <v>512549.80000000005</v>
      </c>
    </row>
    <row r="692" spans="1:25" ht="79.5" customHeight="1">
      <c r="A692" s="295"/>
      <c r="B692" s="295"/>
      <c r="C692" s="295"/>
      <c r="D692" s="284"/>
      <c r="E692" s="73" t="s">
        <v>1241</v>
      </c>
      <c r="F692" s="105">
        <f t="shared" si="100"/>
        <v>100000</v>
      </c>
      <c r="G692" s="114">
        <v>1</v>
      </c>
      <c r="H692" s="105">
        <f t="shared" si="99"/>
        <v>100000</v>
      </c>
      <c r="I692" s="222">
        <v>3132</v>
      </c>
      <c r="J692" s="54">
        <v>100000</v>
      </c>
      <c r="K692" s="182"/>
      <c r="L692" s="182"/>
      <c r="M692" s="182"/>
      <c r="N692" s="182"/>
      <c r="O692" s="182"/>
      <c r="P692" s="182"/>
      <c r="Q692" s="182">
        <v>10000</v>
      </c>
      <c r="R692" s="182">
        <v>70000</v>
      </c>
      <c r="S692" s="182"/>
      <c r="T692" s="182">
        <v>20000</v>
      </c>
      <c r="U692" s="182"/>
      <c r="V692" s="182"/>
      <c r="W692" s="29">
        <f t="shared" si="101"/>
        <v>0</v>
      </c>
      <c r="X692" s="29"/>
      <c r="Y692" s="29">
        <f t="shared" si="96"/>
        <v>100000</v>
      </c>
    </row>
    <row r="693" spans="1:25" ht="57.75" customHeight="1" hidden="1">
      <c r="A693" s="295"/>
      <c r="B693" s="295"/>
      <c r="C693" s="295"/>
      <c r="D693" s="284"/>
      <c r="E693" s="73" t="s">
        <v>798</v>
      </c>
      <c r="F693" s="105">
        <f t="shared" si="100"/>
        <v>0</v>
      </c>
      <c r="G693" s="114">
        <v>1</v>
      </c>
      <c r="H693" s="105">
        <f t="shared" si="99"/>
        <v>0</v>
      </c>
      <c r="I693" s="222">
        <v>3132</v>
      </c>
      <c r="J693" s="54">
        <f>225700-225700</f>
        <v>0</v>
      </c>
      <c r="K693" s="182"/>
      <c r="L693" s="182"/>
      <c r="M693" s="182"/>
      <c r="N693" s="182"/>
      <c r="O693" s="182"/>
      <c r="P693" s="182"/>
      <c r="Q693" s="182">
        <v>22570</v>
      </c>
      <c r="R693" s="182">
        <v>157990</v>
      </c>
      <c r="S693" s="182"/>
      <c r="T693" s="182">
        <f>45140-225700</f>
        <v>-180560</v>
      </c>
      <c r="U693" s="182"/>
      <c r="V693" s="182"/>
      <c r="W693" s="29">
        <f t="shared" si="101"/>
        <v>0</v>
      </c>
      <c r="X693" s="29"/>
      <c r="Y693" s="29">
        <f t="shared" si="96"/>
        <v>0</v>
      </c>
    </row>
    <row r="694" spans="1:25" ht="40.5" customHeight="1" hidden="1">
      <c r="A694" s="295"/>
      <c r="B694" s="295"/>
      <c r="C694" s="295"/>
      <c r="D694" s="284"/>
      <c r="E694" s="73" t="s">
        <v>523</v>
      </c>
      <c r="F694" s="105">
        <f t="shared" si="100"/>
        <v>0</v>
      </c>
      <c r="G694" s="114">
        <v>1</v>
      </c>
      <c r="H694" s="105">
        <f t="shared" si="99"/>
        <v>0</v>
      </c>
      <c r="I694" s="222">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1"/>
        <v>0</v>
      </c>
      <c r="X694" s="29"/>
      <c r="Y694" s="29">
        <f t="shared" si="96"/>
        <v>0</v>
      </c>
    </row>
    <row r="695" spans="1:25" ht="45.75" customHeight="1">
      <c r="A695" s="295"/>
      <c r="B695" s="295"/>
      <c r="C695" s="295"/>
      <c r="D695" s="284"/>
      <c r="E695" s="73" t="s">
        <v>554</v>
      </c>
      <c r="F695" s="105">
        <f t="shared" si="100"/>
        <v>200000</v>
      </c>
      <c r="G695" s="114">
        <v>1</v>
      </c>
      <c r="H695" s="105">
        <f t="shared" si="99"/>
        <v>200000</v>
      </c>
      <c r="I695" s="222">
        <v>3132</v>
      </c>
      <c r="J695" s="54">
        <v>200000</v>
      </c>
      <c r="K695" s="182"/>
      <c r="L695" s="182"/>
      <c r="M695" s="182"/>
      <c r="N695" s="182"/>
      <c r="O695" s="182"/>
      <c r="P695" s="182"/>
      <c r="Q695" s="182">
        <v>20000</v>
      </c>
      <c r="R695" s="182">
        <v>140000</v>
      </c>
      <c r="S695" s="182"/>
      <c r="T695" s="182">
        <v>40000</v>
      </c>
      <c r="U695" s="182"/>
      <c r="V695" s="182"/>
      <c r="W695" s="29">
        <f t="shared" si="101"/>
        <v>0</v>
      </c>
      <c r="X695" s="29"/>
      <c r="Y695" s="29">
        <f aca="true" t="shared" si="102" ref="Y695:Y757">K695+L695+M695+N695+O695+P695+Q695+R695+S695+T695-X695</f>
        <v>200000</v>
      </c>
    </row>
    <row r="696" spans="1:25" ht="56.25">
      <c r="A696" s="295"/>
      <c r="B696" s="295"/>
      <c r="C696" s="295"/>
      <c r="D696" s="284"/>
      <c r="E696" s="73" t="s">
        <v>554</v>
      </c>
      <c r="F696" s="105">
        <f t="shared" si="100"/>
        <v>100000</v>
      </c>
      <c r="G696" s="114">
        <v>1</v>
      </c>
      <c r="H696" s="105">
        <f t="shared" si="99"/>
        <v>100000</v>
      </c>
      <c r="I696" s="222">
        <v>3132</v>
      </c>
      <c r="J696" s="54">
        <v>100000</v>
      </c>
      <c r="K696" s="182"/>
      <c r="L696" s="182"/>
      <c r="M696" s="182"/>
      <c r="N696" s="182"/>
      <c r="O696" s="182"/>
      <c r="P696" s="182"/>
      <c r="Q696" s="182">
        <v>10000</v>
      </c>
      <c r="R696" s="182">
        <v>70000</v>
      </c>
      <c r="S696" s="182"/>
      <c r="T696" s="182">
        <v>20000</v>
      </c>
      <c r="U696" s="182"/>
      <c r="V696" s="182"/>
      <c r="W696" s="29">
        <f t="shared" si="101"/>
        <v>0</v>
      </c>
      <c r="X696" s="29"/>
      <c r="Y696" s="29">
        <f t="shared" si="102"/>
        <v>100000</v>
      </c>
    </row>
    <row r="697" spans="1:25" ht="93.75">
      <c r="A697" s="295"/>
      <c r="B697" s="295"/>
      <c r="C697" s="295"/>
      <c r="D697" s="284"/>
      <c r="E697" s="73" t="s">
        <v>30</v>
      </c>
      <c r="F697" s="105">
        <f t="shared" si="100"/>
        <v>385000</v>
      </c>
      <c r="G697" s="114">
        <v>1</v>
      </c>
      <c r="H697" s="105">
        <f t="shared" si="99"/>
        <v>385000</v>
      </c>
      <c r="I697" s="222">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1"/>
        <v>0</v>
      </c>
      <c r="X697" s="29">
        <f>58000</f>
        <v>58000</v>
      </c>
      <c r="Y697" s="29">
        <f t="shared" si="102"/>
        <v>313800</v>
      </c>
    </row>
    <row r="698" spans="1:25" ht="44.25" customHeight="1">
      <c r="A698" s="295"/>
      <c r="B698" s="295"/>
      <c r="C698" s="295"/>
      <c r="D698" s="284"/>
      <c r="E698" s="73" t="s">
        <v>522</v>
      </c>
      <c r="F698" s="105">
        <f t="shared" si="100"/>
        <v>100000</v>
      </c>
      <c r="G698" s="114">
        <v>1</v>
      </c>
      <c r="H698" s="105">
        <f t="shared" si="99"/>
        <v>100000</v>
      </c>
      <c r="I698" s="222">
        <v>3132</v>
      </c>
      <c r="J698" s="54">
        <v>100000</v>
      </c>
      <c r="K698" s="182"/>
      <c r="L698" s="182"/>
      <c r="M698" s="182"/>
      <c r="N698" s="182"/>
      <c r="O698" s="182"/>
      <c r="P698" s="182"/>
      <c r="Q698" s="182">
        <v>10000</v>
      </c>
      <c r="R698" s="182">
        <v>70000</v>
      </c>
      <c r="S698" s="182"/>
      <c r="T698" s="182">
        <v>20000</v>
      </c>
      <c r="U698" s="182"/>
      <c r="V698" s="182"/>
      <c r="W698" s="29">
        <f t="shared" si="101"/>
        <v>0</v>
      </c>
      <c r="X698" s="29">
        <f>14000</f>
        <v>14000</v>
      </c>
      <c r="Y698" s="29">
        <f t="shared" si="102"/>
        <v>86000</v>
      </c>
    </row>
    <row r="699" spans="1:25" ht="45.75" customHeight="1" hidden="1">
      <c r="A699" s="295"/>
      <c r="B699" s="295"/>
      <c r="C699" s="295"/>
      <c r="D699" s="284"/>
      <c r="E699" s="73" t="s">
        <v>1227</v>
      </c>
      <c r="F699" s="105">
        <f t="shared" si="100"/>
        <v>0</v>
      </c>
      <c r="G699" s="114">
        <v>1</v>
      </c>
      <c r="H699" s="105">
        <f t="shared" si="99"/>
        <v>0</v>
      </c>
      <c r="I699" s="222">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1"/>
        <v>0</v>
      </c>
      <c r="X699" s="29"/>
      <c r="Y699" s="29">
        <f t="shared" si="102"/>
        <v>0</v>
      </c>
    </row>
    <row r="700" spans="1:25" ht="54" hidden="1">
      <c r="A700" s="295"/>
      <c r="B700" s="295"/>
      <c r="C700" s="295"/>
      <c r="D700" s="284"/>
      <c r="E700" s="73" t="s">
        <v>546</v>
      </c>
      <c r="F700" s="105">
        <f t="shared" si="100"/>
        <v>0</v>
      </c>
      <c r="G700" s="114"/>
      <c r="H700" s="105">
        <f t="shared" si="99"/>
        <v>0</v>
      </c>
      <c r="I700" s="222">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9">
        <f t="shared" si="102"/>
        <v>0</v>
      </c>
    </row>
    <row r="701" spans="1:25" ht="41.25" customHeight="1">
      <c r="A701" s="295"/>
      <c r="B701" s="295"/>
      <c r="C701" s="295"/>
      <c r="D701" s="284"/>
      <c r="E701" s="73" t="s">
        <v>962</v>
      </c>
      <c r="F701" s="105">
        <f t="shared" si="100"/>
        <v>200000</v>
      </c>
      <c r="G701" s="114">
        <v>1</v>
      </c>
      <c r="H701" s="105">
        <f t="shared" si="99"/>
        <v>200000</v>
      </c>
      <c r="I701" s="222">
        <v>3132</v>
      </c>
      <c r="J701" s="54">
        <v>200000</v>
      </c>
      <c r="K701" s="182"/>
      <c r="L701" s="182"/>
      <c r="M701" s="182"/>
      <c r="N701" s="182"/>
      <c r="O701" s="182"/>
      <c r="P701" s="182"/>
      <c r="Q701" s="182">
        <v>20000</v>
      </c>
      <c r="R701" s="182">
        <v>140000</v>
      </c>
      <c r="S701" s="182"/>
      <c r="T701" s="182">
        <v>40000</v>
      </c>
      <c r="U701" s="182"/>
      <c r="V701" s="182"/>
      <c r="W701" s="29">
        <f t="shared" si="101"/>
        <v>0</v>
      </c>
      <c r="X701" s="29"/>
      <c r="Y701" s="29">
        <f t="shared" si="102"/>
        <v>200000</v>
      </c>
    </row>
    <row r="702" spans="1:25" ht="40.5" customHeight="1" hidden="1">
      <c r="A702" s="295"/>
      <c r="B702" s="295"/>
      <c r="C702" s="295"/>
      <c r="D702" s="284"/>
      <c r="E702" s="73" t="s">
        <v>740</v>
      </c>
      <c r="F702" s="105">
        <f t="shared" si="100"/>
        <v>0</v>
      </c>
      <c r="G702" s="114">
        <v>1</v>
      </c>
      <c r="H702" s="105">
        <f t="shared" si="99"/>
        <v>0</v>
      </c>
      <c r="I702" s="222">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1"/>
        <v>0</v>
      </c>
      <c r="X702" s="29"/>
      <c r="Y702" s="29">
        <f t="shared" si="102"/>
        <v>0</v>
      </c>
    </row>
    <row r="703" spans="1:25" ht="56.25">
      <c r="A703" s="295"/>
      <c r="B703" s="295"/>
      <c r="C703" s="295"/>
      <c r="D703" s="284"/>
      <c r="E703" s="73" t="s">
        <v>741</v>
      </c>
      <c r="F703" s="105">
        <f t="shared" si="100"/>
        <v>200000</v>
      </c>
      <c r="G703" s="114">
        <v>1</v>
      </c>
      <c r="H703" s="105">
        <f t="shared" si="99"/>
        <v>200000</v>
      </c>
      <c r="I703" s="222">
        <v>3132</v>
      </c>
      <c r="J703" s="54">
        <f>100000+100000</f>
        <v>200000</v>
      </c>
      <c r="K703" s="182"/>
      <c r="L703" s="182"/>
      <c r="M703" s="182"/>
      <c r="N703" s="182"/>
      <c r="O703" s="182"/>
      <c r="P703" s="182"/>
      <c r="Q703" s="182">
        <v>10000</v>
      </c>
      <c r="R703" s="182">
        <f>70000+100000</f>
        <v>170000</v>
      </c>
      <c r="S703" s="182"/>
      <c r="T703" s="182">
        <v>20000</v>
      </c>
      <c r="U703" s="182"/>
      <c r="V703" s="182"/>
      <c r="W703" s="29">
        <f t="shared" si="101"/>
        <v>0</v>
      </c>
      <c r="X703" s="29">
        <f>44000</f>
        <v>44000</v>
      </c>
      <c r="Y703" s="29">
        <f t="shared" si="102"/>
        <v>156000</v>
      </c>
    </row>
    <row r="704" spans="1:25" ht="75">
      <c r="A704" s="295"/>
      <c r="B704" s="295"/>
      <c r="C704" s="295"/>
      <c r="D704" s="284"/>
      <c r="E704" s="73" t="s">
        <v>446</v>
      </c>
      <c r="F704" s="105">
        <f t="shared" si="100"/>
        <v>31000</v>
      </c>
      <c r="G704" s="114"/>
      <c r="H704" s="105">
        <f t="shared" si="99"/>
        <v>31000</v>
      </c>
      <c r="I704" s="222">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9">
        <f t="shared" si="102"/>
        <v>0</v>
      </c>
    </row>
    <row r="705" spans="1:25" ht="84" customHeight="1" hidden="1">
      <c r="A705" s="295"/>
      <c r="B705" s="295"/>
      <c r="C705" s="295"/>
      <c r="D705" s="284"/>
      <c r="E705" s="73" t="s">
        <v>330</v>
      </c>
      <c r="F705" s="105">
        <f t="shared" si="100"/>
        <v>0</v>
      </c>
      <c r="G705" s="114">
        <v>1</v>
      </c>
      <c r="H705" s="105">
        <f t="shared" si="99"/>
        <v>0</v>
      </c>
      <c r="I705" s="222">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1"/>
        <v>0</v>
      </c>
      <c r="X705" s="29"/>
      <c r="Y705" s="29">
        <f t="shared" si="102"/>
        <v>0</v>
      </c>
    </row>
    <row r="706" spans="1:25" ht="96.75" customHeight="1">
      <c r="A706" s="295"/>
      <c r="B706" s="295"/>
      <c r="C706" s="295"/>
      <c r="D706" s="284"/>
      <c r="E706" s="73" t="s">
        <v>1242</v>
      </c>
      <c r="F706" s="105">
        <f t="shared" si="100"/>
        <v>460000</v>
      </c>
      <c r="G706" s="114">
        <v>1</v>
      </c>
      <c r="H706" s="105">
        <f t="shared" si="99"/>
        <v>460000</v>
      </c>
      <c r="I706" s="222">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1"/>
        <v>0</v>
      </c>
      <c r="X706" s="29"/>
      <c r="Y706" s="29">
        <f t="shared" si="102"/>
        <v>277000</v>
      </c>
    </row>
    <row r="707" spans="1:25" ht="39" customHeight="1" hidden="1">
      <c r="A707" s="295"/>
      <c r="B707" s="295"/>
      <c r="C707" s="295"/>
      <c r="D707" s="284"/>
      <c r="E707" s="73" t="s">
        <v>275</v>
      </c>
      <c r="F707" s="105">
        <f t="shared" si="100"/>
        <v>0</v>
      </c>
      <c r="G707" s="114">
        <v>1</v>
      </c>
      <c r="H707" s="105">
        <f t="shared" si="99"/>
        <v>0</v>
      </c>
      <c r="I707" s="222">
        <v>3132</v>
      </c>
      <c r="J707" s="54">
        <f>462000-116000-346000</f>
        <v>0</v>
      </c>
      <c r="K707" s="182"/>
      <c r="L707" s="182"/>
      <c r="M707" s="182"/>
      <c r="N707" s="182"/>
      <c r="O707" s="182"/>
      <c r="P707" s="182"/>
      <c r="Q707" s="182"/>
      <c r="R707" s="182"/>
      <c r="S707" s="182"/>
      <c r="T707" s="182"/>
      <c r="U707" s="182"/>
      <c r="V707" s="182">
        <f>346000-346000</f>
        <v>0</v>
      </c>
      <c r="W707" s="29">
        <f t="shared" si="101"/>
        <v>0</v>
      </c>
      <c r="X707" s="29"/>
      <c r="Y707" s="29">
        <f t="shared" si="102"/>
        <v>0</v>
      </c>
    </row>
    <row r="708" spans="1:25" ht="60" customHeight="1" hidden="1">
      <c r="A708" s="295"/>
      <c r="B708" s="295"/>
      <c r="C708" s="295"/>
      <c r="D708" s="284"/>
      <c r="E708" s="73" t="s">
        <v>452</v>
      </c>
      <c r="F708" s="105">
        <f t="shared" si="100"/>
        <v>0</v>
      </c>
      <c r="G708" s="114">
        <v>1</v>
      </c>
      <c r="H708" s="105">
        <f t="shared" si="99"/>
        <v>0</v>
      </c>
      <c r="I708" s="222">
        <v>3132</v>
      </c>
      <c r="J708" s="54">
        <f>150000-150000</f>
        <v>0</v>
      </c>
      <c r="K708" s="182"/>
      <c r="L708" s="182"/>
      <c r="M708" s="182"/>
      <c r="N708" s="182"/>
      <c r="O708" s="182"/>
      <c r="P708" s="182"/>
      <c r="Q708" s="182"/>
      <c r="R708" s="182"/>
      <c r="S708" s="182"/>
      <c r="T708" s="182"/>
      <c r="U708" s="182"/>
      <c r="V708" s="182">
        <f>150000-150000</f>
        <v>0</v>
      </c>
      <c r="W708" s="29">
        <f t="shared" si="101"/>
        <v>0</v>
      </c>
      <c r="X708" s="29"/>
      <c r="Y708" s="29">
        <f t="shared" si="102"/>
        <v>0</v>
      </c>
    </row>
    <row r="709" spans="1:25" ht="168.75">
      <c r="A709" s="295"/>
      <c r="B709" s="295"/>
      <c r="C709" s="295"/>
      <c r="D709" s="284"/>
      <c r="E709" s="189" t="s">
        <v>807</v>
      </c>
      <c r="F709" s="198"/>
      <c r="G709" s="199"/>
      <c r="H709" s="198"/>
      <c r="I709" s="229">
        <v>3132</v>
      </c>
      <c r="J709" s="206">
        <v>150000</v>
      </c>
      <c r="K709" s="193"/>
      <c r="L709" s="193"/>
      <c r="M709" s="193"/>
      <c r="N709" s="193"/>
      <c r="O709" s="193"/>
      <c r="P709" s="193"/>
      <c r="Q709" s="193">
        <v>150000</v>
      </c>
      <c r="R709" s="193"/>
      <c r="S709" s="193"/>
      <c r="T709" s="193"/>
      <c r="U709" s="193"/>
      <c r="V709" s="193"/>
      <c r="W709" s="29">
        <f t="shared" si="101"/>
        <v>0</v>
      </c>
      <c r="X709" s="29"/>
      <c r="Y709" s="29">
        <f t="shared" si="102"/>
        <v>150000</v>
      </c>
    </row>
    <row r="710" spans="1:25" ht="168.75">
      <c r="A710" s="295"/>
      <c r="B710" s="295"/>
      <c r="C710" s="295"/>
      <c r="D710" s="284"/>
      <c r="E710" s="189" t="s">
        <v>128</v>
      </c>
      <c r="F710" s="198"/>
      <c r="G710" s="199"/>
      <c r="H710" s="198"/>
      <c r="I710" s="229">
        <v>3132</v>
      </c>
      <c r="J710" s="206">
        <v>150000</v>
      </c>
      <c r="K710" s="193"/>
      <c r="L710" s="193"/>
      <c r="M710" s="193"/>
      <c r="N710" s="193"/>
      <c r="O710" s="193"/>
      <c r="P710" s="193"/>
      <c r="Q710" s="193">
        <v>150000</v>
      </c>
      <c r="R710" s="193"/>
      <c r="S710" s="193"/>
      <c r="T710" s="193"/>
      <c r="U710" s="193"/>
      <c r="V710" s="193"/>
      <c r="W710" s="29">
        <f t="shared" si="101"/>
        <v>0</v>
      </c>
      <c r="X710" s="29"/>
      <c r="Y710" s="29">
        <f t="shared" si="102"/>
        <v>150000</v>
      </c>
    </row>
    <row r="711" spans="1:25" ht="60" customHeight="1">
      <c r="A711" s="295"/>
      <c r="B711" s="295"/>
      <c r="C711" s="295"/>
      <c r="D711" s="284"/>
      <c r="E711" s="73" t="s">
        <v>528</v>
      </c>
      <c r="F711" s="105"/>
      <c r="G711" s="114"/>
      <c r="H711" s="105"/>
      <c r="I711" s="222">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f>
        <v>25000</v>
      </c>
      <c r="Y711" s="29">
        <f t="shared" si="102"/>
        <v>502000</v>
      </c>
    </row>
    <row r="712" spans="1:25" ht="75">
      <c r="A712" s="295"/>
      <c r="B712" s="295"/>
      <c r="C712" s="295"/>
      <c r="D712" s="284"/>
      <c r="E712" s="73" t="s">
        <v>652</v>
      </c>
      <c r="F712" s="105">
        <f t="shared" si="100"/>
        <v>510000</v>
      </c>
      <c r="G712" s="114">
        <v>1</v>
      </c>
      <c r="H712" s="105">
        <f t="shared" si="99"/>
        <v>510000</v>
      </c>
      <c r="I712" s="222">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1"/>
        <v>0</v>
      </c>
      <c r="X712" s="29">
        <v>25000</v>
      </c>
      <c r="Y712" s="29">
        <f t="shared" si="102"/>
        <v>195000</v>
      </c>
    </row>
    <row r="713" spans="1:25" ht="60" customHeight="1">
      <c r="A713" s="295"/>
      <c r="B713" s="295"/>
      <c r="C713" s="295"/>
      <c r="D713" s="284"/>
      <c r="E713" s="73" t="s">
        <v>1158</v>
      </c>
      <c r="F713" s="105">
        <f t="shared" si="100"/>
        <v>127000</v>
      </c>
      <c r="G713" s="114">
        <v>1</v>
      </c>
      <c r="H713" s="105">
        <f t="shared" si="99"/>
        <v>127000</v>
      </c>
      <c r="I713" s="222">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1"/>
        <v>0</v>
      </c>
      <c r="X713" s="29">
        <f>37000</f>
        <v>37000</v>
      </c>
      <c r="Y713" s="29">
        <f t="shared" si="102"/>
        <v>90000</v>
      </c>
    </row>
    <row r="714" spans="1:25" ht="112.5">
      <c r="A714" s="295"/>
      <c r="B714" s="295"/>
      <c r="C714" s="295"/>
      <c r="D714" s="284"/>
      <c r="E714" s="73" t="s">
        <v>563</v>
      </c>
      <c r="F714" s="105">
        <f t="shared" si="100"/>
        <v>240000</v>
      </c>
      <c r="G714" s="114">
        <v>1</v>
      </c>
      <c r="H714" s="105">
        <f t="shared" si="99"/>
        <v>240000</v>
      </c>
      <c r="I714" s="222">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1"/>
        <v>0</v>
      </c>
      <c r="X714" s="29">
        <f>42000</f>
        <v>42000</v>
      </c>
      <c r="Y714" s="29">
        <f t="shared" si="102"/>
        <v>198000</v>
      </c>
    </row>
    <row r="715" spans="1:25" ht="64.5" customHeight="1">
      <c r="A715" s="295"/>
      <c r="B715" s="295"/>
      <c r="C715" s="295"/>
      <c r="D715" s="284"/>
      <c r="E715" s="73" t="s">
        <v>381</v>
      </c>
      <c r="F715" s="105">
        <f t="shared" si="100"/>
        <v>1650000</v>
      </c>
      <c r="G715" s="114">
        <v>1</v>
      </c>
      <c r="H715" s="105">
        <f t="shared" si="99"/>
        <v>1650000</v>
      </c>
      <c r="I715" s="222">
        <v>3132</v>
      </c>
      <c r="J715" s="54">
        <v>1650000</v>
      </c>
      <c r="K715" s="182"/>
      <c r="L715" s="182"/>
      <c r="M715" s="182">
        <v>1320000</v>
      </c>
      <c r="N715" s="182">
        <v>-1201000</v>
      </c>
      <c r="O715" s="182"/>
      <c r="P715" s="182">
        <f>330000+1201000-600000</f>
        <v>931000</v>
      </c>
      <c r="Q715" s="182"/>
      <c r="R715" s="182">
        <f>900000-900000</f>
        <v>0</v>
      </c>
      <c r="S715" s="182"/>
      <c r="T715" s="182"/>
      <c r="U715" s="182">
        <f>301000-301000</f>
        <v>0</v>
      </c>
      <c r="V715" s="182">
        <v>600000</v>
      </c>
      <c r="W715" s="29">
        <f t="shared" si="101"/>
        <v>0</v>
      </c>
      <c r="X715" s="29">
        <f>68813.21+980000</f>
        <v>1048813.21</v>
      </c>
      <c r="Y715" s="29">
        <f t="shared" si="102"/>
        <v>1186.7900000000373</v>
      </c>
    </row>
    <row r="716" spans="1:25" ht="59.25" customHeight="1">
      <c r="A716" s="295"/>
      <c r="B716" s="295"/>
      <c r="C716" s="295"/>
      <c r="D716" s="284"/>
      <c r="E716" s="73" t="s">
        <v>1159</v>
      </c>
      <c r="F716" s="105">
        <f t="shared" si="100"/>
        <v>771000</v>
      </c>
      <c r="G716" s="114">
        <v>1</v>
      </c>
      <c r="H716" s="105">
        <f t="shared" si="99"/>
        <v>771000</v>
      </c>
      <c r="I716" s="222">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1"/>
        <v>0</v>
      </c>
      <c r="X716" s="29">
        <f>33131.85+500000</f>
        <v>533131.85</v>
      </c>
      <c r="Y716" s="29">
        <f t="shared" si="102"/>
        <v>237868.15000000002</v>
      </c>
    </row>
    <row r="717" spans="1:25" ht="93.75">
      <c r="A717" s="295"/>
      <c r="B717" s="295"/>
      <c r="C717" s="295"/>
      <c r="D717" s="284"/>
      <c r="E717" s="73" t="s">
        <v>434</v>
      </c>
      <c r="F717" s="105">
        <f t="shared" si="100"/>
        <v>1150000</v>
      </c>
      <c r="G717" s="114">
        <v>1</v>
      </c>
      <c r="H717" s="105">
        <f t="shared" si="99"/>
        <v>1150000</v>
      </c>
      <c r="I717" s="222">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1"/>
        <v>0</v>
      </c>
      <c r="X717" s="29">
        <f>35460.63+10503.8+270000+480000</f>
        <v>795964.4299999999</v>
      </c>
      <c r="Y717" s="29">
        <f t="shared" si="102"/>
        <v>354035.57000000007</v>
      </c>
    </row>
    <row r="718" spans="1:25" ht="54" hidden="1">
      <c r="A718" s="295"/>
      <c r="B718" s="295"/>
      <c r="C718" s="295"/>
      <c r="D718" s="284"/>
      <c r="E718" s="73" t="s">
        <v>1160</v>
      </c>
      <c r="F718" s="105">
        <f t="shared" si="100"/>
        <v>0</v>
      </c>
      <c r="G718" s="114">
        <v>1</v>
      </c>
      <c r="H718" s="105">
        <f t="shared" si="99"/>
        <v>0</v>
      </c>
      <c r="I718" s="222">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1"/>
        <v>0</v>
      </c>
      <c r="X718" s="29"/>
      <c r="Y718" s="29">
        <f t="shared" si="102"/>
        <v>0</v>
      </c>
    </row>
    <row r="719" spans="1:25" ht="54" hidden="1">
      <c r="A719" s="295"/>
      <c r="B719" s="295"/>
      <c r="C719" s="295"/>
      <c r="D719" s="284"/>
      <c r="E719" s="73" t="s">
        <v>1250</v>
      </c>
      <c r="F719" s="105"/>
      <c r="G719" s="114"/>
      <c r="H719" s="105"/>
      <c r="I719" s="222">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9">
        <f t="shared" si="102"/>
        <v>0</v>
      </c>
    </row>
    <row r="720" spans="1:25" ht="75">
      <c r="A720" s="295"/>
      <c r="B720" s="295"/>
      <c r="C720" s="295"/>
      <c r="D720" s="284"/>
      <c r="E720" s="73" t="s">
        <v>799</v>
      </c>
      <c r="F720" s="105">
        <f t="shared" si="100"/>
        <v>116000</v>
      </c>
      <c r="G720" s="114">
        <v>1</v>
      </c>
      <c r="H720" s="105">
        <f t="shared" si="99"/>
        <v>116000</v>
      </c>
      <c r="I720" s="222">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1"/>
        <v>0</v>
      </c>
      <c r="X720" s="29">
        <f>53000</f>
        <v>53000</v>
      </c>
      <c r="Y720" s="29">
        <f t="shared" si="102"/>
        <v>28200</v>
      </c>
    </row>
    <row r="721" spans="1:25" ht="63" customHeight="1">
      <c r="A721" s="295"/>
      <c r="B721" s="295"/>
      <c r="C721" s="295"/>
      <c r="D721" s="284"/>
      <c r="E721" s="73" t="s">
        <v>821</v>
      </c>
      <c r="F721" s="105">
        <f t="shared" si="100"/>
        <v>116000</v>
      </c>
      <c r="G721" s="114">
        <v>1</v>
      </c>
      <c r="H721" s="105">
        <f t="shared" si="99"/>
        <v>116000</v>
      </c>
      <c r="I721" s="222">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1"/>
        <v>0</v>
      </c>
      <c r="X721" s="29">
        <f>35000</f>
        <v>35000</v>
      </c>
      <c r="Y721" s="29">
        <f t="shared" si="102"/>
        <v>81000</v>
      </c>
    </row>
    <row r="722" spans="1:25" ht="56.25">
      <c r="A722" s="295"/>
      <c r="B722" s="295"/>
      <c r="C722" s="295"/>
      <c r="D722" s="284"/>
      <c r="E722" s="73" t="s">
        <v>194</v>
      </c>
      <c r="F722" s="105">
        <f t="shared" si="100"/>
        <v>50000</v>
      </c>
      <c r="G722" s="114">
        <v>1</v>
      </c>
      <c r="H722" s="105">
        <f t="shared" si="99"/>
        <v>50000</v>
      </c>
      <c r="I722" s="222">
        <v>3132</v>
      </c>
      <c r="J722" s="54">
        <v>50000</v>
      </c>
      <c r="K722" s="182"/>
      <c r="L722" s="182"/>
      <c r="M722" s="182">
        <v>5000</v>
      </c>
      <c r="N722" s="182"/>
      <c r="O722" s="182">
        <f>-5000</f>
        <v>-5000</v>
      </c>
      <c r="P722" s="182"/>
      <c r="Q722" s="182"/>
      <c r="R722" s="182"/>
      <c r="S722" s="182"/>
      <c r="T722" s="182">
        <v>35000</v>
      </c>
      <c r="U722" s="182">
        <f>5000</f>
        <v>5000</v>
      </c>
      <c r="V722" s="182">
        <v>10000</v>
      </c>
      <c r="W722" s="29">
        <f t="shared" si="101"/>
        <v>0</v>
      </c>
      <c r="X722" s="29"/>
      <c r="Y722" s="29">
        <f t="shared" si="102"/>
        <v>35000</v>
      </c>
    </row>
    <row r="723" spans="1:25" ht="64.5" customHeight="1" hidden="1">
      <c r="A723" s="295"/>
      <c r="B723" s="295"/>
      <c r="C723" s="295"/>
      <c r="D723" s="284"/>
      <c r="E723" s="73" t="s">
        <v>650</v>
      </c>
      <c r="F723" s="105">
        <f t="shared" si="100"/>
        <v>0</v>
      </c>
      <c r="G723" s="114">
        <v>1</v>
      </c>
      <c r="H723" s="105">
        <f t="shared" si="99"/>
        <v>0</v>
      </c>
      <c r="I723" s="222">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1"/>
        <v>0</v>
      </c>
      <c r="X723" s="29"/>
      <c r="Y723" s="29">
        <f t="shared" si="102"/>
        <v>0</v>
      </c>
    </row>
    <row r="724" spans="1:25" ht="62.25" customHeight="1" hidden="1">
      <c r="A724" s="295"/>
      <c r="B724" s="295"/>
      <c r="C724" s="295"/>
      <c r="D724" s="284"/>
      <c r="E724" s="73" t="s">
        <v>1236</v>
      </c>
      <c r="F724" s="105">
        <f t="shared" si="100"/>
        <v>0</v>
      </c>
      <c r="G724" s="114">
        <v>1</v>
      </c>
      <c r="H724" s="105">
        <f t="shared" si="99"/>
        <v>0</v>
      </c>
      <c r="I724" s="222">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1"/>
        <v>0</v>
      </c>
      <c r="X724" s="29"/>
      <c r="Y724" s="29">
        <f t="shared" si="102"/>
        <v>0</v>
      </c>
    </row>
    <row r="725" spans="1:25" ht="56.25">
      <c r="A725" s="295"/>
      <c r="B725" s="295"/>
      <c r="C725" s="295"/>
      <c r="D725" s="284"/>
      <c r="E725" s="73" t="s">
        <v>1247</v>
      </c>
      <c r="F725" s="105">
        <f t="shared" si="100"/>
        <v>319112.33999999997</v>
      </c>
      <c r="G725" s="114">
        <v>1</v>
      </c>
      <c r="H725" s="105">
        <f t="shared" si="99"/>
        <v>319112.33999999997</v>
      </c>
      <c r="I725" s="222">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1"/>
        <v>0</v>
      </c>
      <c r="X725" s="29"/>
      <c r="Y725" s="29">
        <f t="shared" si="102"/>
        <v>82600</v>
      </c>
    </row>
    <row r="726" spans="1:25" ht="63" customHeight="1">
      <c r="A726" s="295"/>
      <c r="B726" s="295"/>
      <c r="C726" s="295"/>
      <c r="D726" s="284"/>
      <c r="E726" s="73" t="s">
        <v>820</v>
      </c>
      <c r="F726" s="105">
        <f t="shared" si="100"/>
        <v>232000</v>
      </c>
      <c r="G726" s="114">
        <v>1</v>
      </c>
      <c r="H726" s="105">
        <f t="shared" si="99"/>
        <v>232000</v>
      </c>
      <c r="I726" s="222">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1"/>
        <v>0</v>
      </c>
      <c r="X726" s="29">
        <f>36000</f>
        <v>36000</v>
      </c>
      <c r="Y726" s="29">
        <f t="shared" si="102"/>
        <v>196000</v>
      </c>
    </row>
    <row r="727" spans="1:25" ht="54" hidden="1">
      <c r="A727" s="295"/>
      <c r="B727" s="295"/>
      <c r="C727" s="295"/>
      <c r="D727" s="284"/>
      <c r="E727" s="73" t="s">
        <v>562</v>
      </c>
      <c r="F727" s="105">
        <f t="shared" si="100"/>
        <v>0</v>
      </c>
      <c r="G727" s="114">
        <v>1</v>
      </c>
      <c r="H727" s="105">
        <f t="shared" si="99"/>
        <v>0</v>
      </c>
      <c r="I727" s="222">
        <v>3132</v>
      </c>
      <c r="J727" s="54">
        <f>82000-82000</f>
        <v>0</v>
      </c>
      <c r="K727" s="182"/>
      <c r="L727" s="182"/>
      <c r="M727" s="182">
        <v>0</v>
      </c>
      <c r="N727" s="182"/>
      <c r="O727" s="182"/>
      <c r="P727" s="182"/>
      <c r="Q727" s="182"/>
      <c r="R727" s="182"/>
      <c r="S727" s="182"/>
      <c r="T727" s="182"/>
      <c r="U727" s="182"/>
      <c r="V727" s="182">
        <f>82000-82000</f>
        <v>0</v>
      </c>
      <c r="W727" s="29">
        <f t="shared" si="101"/>
        <v>0</v>
      </c>
      <c r="X727" s="29"/>
      <c r="Y727" s="29">
        <f t="shared" si="102"/>
        <v>0</v>
      </c>
    </row>
    <row r="728" spans="1:25" ht="56.25">
      <c r="A728" s="295"/>
      <c r="B728" s="295"/>
      <c r="C728" s="295"/>
      <c r="D728" s="284"/>
      <c r="E728" s="73" t="s">
        <v>769</v>
      </c>
      <c r="F728" s="105">
        <f t="shared" si="100"/>
        <v>140000</v>
      </c>
      <c r="G728" s="114">
        <v>1</v>
      </c>
      <c r="H728" s="105">
        <f t="shared" si="99"/>
        <v>140000</v>
      </c>
      <c r="I728" s="222">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1"/>
        <v>0</v>
      </c>
      <c r="X728" s="29">
        <f>13838.39</f>
        <v>13838.39</v>
      </c>
      <c r="Y728" s="29">
        <f t="shared" si="102"/>
        <v>126161.61</v>
      </c>
    </row>
    <row r="729" spans="1:25" ht="63" customHeight="1">
      <c r="A729" s="295"/>
      <c r="B729" s="295"/>
      <c r="C729" s="295"/>
      <c r="D729" s="284"/>
      <c r="E729" s="73" t="s">
        <v>1017</v>
      </c>
      <c r="F729" s="105">
        <f t="shared" si="100"/>
        <v>350000</v>
      </c>
      <c r="G729" s="114">
        <v>1</v>
      </c>
      <c r="H729" s="105">
        <f t="shared" si="99"/>
        <v>350000</v>
      </c>
      <c r="I729" s="222">
        <v>3132</v>
      </c>
      <c r="J729" s="54">
        <v>350000</v>
      </c>
      <c r="K729" s="182"/>
      <c r="L729" s="182"/>
      <c r="M729" s="182">
        <v>35000</v>
      </c>
      <c r="N729" s="182"/>
      <c r="O729" s="182">
        <v>-35000</v>
      </c>
      <c r="P729" s="182"/>
      <c r="Q729" s="182"/>
      <c r="R729" s="182"/>
      <c r="S729" s="182"/>
      <c r="T729" s="182">
        <v>157500</v>
      </c>
      <c r="U729" s="182">
        <v>35000</v>
      </c>
      <c r="V729" s="182">
        <v>157500</v>
      </c>
      <c r="W729" s="29">
        <f t="shared" si="101"/>
        <v>0</v>
      </c>
      <c r="X729" s="29"/>
      <c r="Y729" s="29">
        <f t="shared" si="102"/>
        <v>157500</v>
      </c>
    </row>
    <row r="730" spans="1:25" ht="54" hidden="1">
      <c r="A730" s="295"/>
      <c r="B730" s="295"/>
      <c r="C730" s="295"/>
      <c r="D730" s="284"/>
      <c r="E730" s="73" t="s">
        <v>661</v>
      </c>
      <c r="F730" s="105">
        <f t="shared" si="100"/>
        <v>0</v>
      </c>
      <c r="G730" s="114">
        <v>1</v>
      </c>
      <c r="H730" s="105">
        <f t="shared" si="99"/>
        <v>0</v>
      </c>
      <c r="I730" s="222">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1"/>
        <v>0</v>
      </c>
      <c r="X730" s="29"/>
      <c r="Y730" s="29">
        <f t="shared" si="102"/>
        <v>0</v>
      </c>
    </row>
    <row r="731" spans="1:25" ht="56.25">
      <c r="A731" s="295"/>
      <c r="B731" s="295"/>
      <c r="C731" s="295"/>
      <c r="D731" s="284"/>
      <c r="E731" s="73" t="s">
        <v>1235</v>
      </c>
      <c r="F731" s="105">
        <f t="shared" si="100"/>
        <v>263000</v>
      </c>
      <c r="G731" s="114">
        <v>1</v>
      </c>
      <c r="H731" s="105">
        <f t="shared" si="99"/>
        <v>263000</v>
      </c>
      <c r="I731" s="222">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1"/>
        <v>0</v>
      </c>
      <c r="X731" s="29">
        <f>30000</f>
        <v>30000</v>
      </c>
      <c r="Y731" s="29">
        <f t="shared" si="102"/>
        <v>233000</v>
      </c>
    </row>
    <row r="732" spans="1:25" ht="75">
      <c r="A732" s="295"/>
      <c r="B732" s="295"/>
      <c r="C732" s="295"/>
      <c r="D732" s="284"/>
      <c r="E732" s="73" t="s">
        <v>564</v>
      </c>
      <c r="F732" s="105">
        <f t="shared" si="100"/>
        <v>133000</v>
      </c>
      <c r="G732" s="114">
        <v>1</v>
      </c>
      <c r="H732" s="105">
        <f t="shared" si="99"/>
        <v>133000</v>
      </c>
      <c r="I732" s="222">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1"/>
        <v>0</v>
      </c>
      <c r="X732" s="29">
        <f>23000</f>
        <v>23000</v>
      </c>
      <c r="Y732" s="29">
        <f t="shared" si="102"/>
        <v>70100</v>
      </c>
    </row>
    <row r="733" spans="1:25" ht="79.5" customHeight="1">
      <c r="A733" s="295"/>
      <c r="B733" s="295"/>
      <c r="C733" s="295"/>
      <c r="D733" s="284"/>
      <c r="E733" s="73" t="s">
        <v>1237</v>
      </c>
      <c r="F733" s="105">
        <f t="shared" si="100"/>
        <v>116000</v>
      </c>
      <c r="G733" s="114">
        <v>1</v>
      </c>
      <c r="H733" s="105">
        <f t="shared" si="99"/>
        <v>116000</v>
      </c>
      <c r="I733" s="222">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1"/>
        <v>0</v>
      </c>
      <c r="X733" s="29">
        <f>23000</f>
        <v>23000</v>
      </c>
      <c r="Y733" s="29">
        <f t="shared" si="102"/>
        <v>58200</v>
      </c>
    </row>
    <row r="734" spans="1:25" ht="64.5" customHeight="1" hidden="1">
      <c r="A734" s="295"/>
      <c r="B734" s="295"/>
      <c r="C734" s="295"/>
      <c r="D734" s="284"/>
      <c r="E734" s="73" t="s">
        <v>1132</v>
      </c>
      <c r="F734" s="105">
        <f t="shared" si="100"/>
        <v>0</v>
      </c>
      <c r="G734" s="114">
        <v>1</v>
      </c>
      <c r="H734" s="105">
        <f t="shared" si="99"/>
        <v>0</v>
      </c>
      <c r="I734" s="222">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1"/>
        <v>0</v>
      </c>
      <c r="X734" s="29"/>
      <c r="Y734" s="29">
        <f t="shared" si="102"/>
        <v>0</v>
      </c>
    </row>
    <row r="735" spans="1:25" ht="57" customHeight="1" hidden="1">
      <c r="A735" s="295"/>
      <c r="B735" s="295"/>
      <c r="C735" s="295"/>
      <c r="D735" s="284"/>
      <c r="E735" s="73" t="s">
        <v>453</v>
      </c>
      <c r="F735" s="105">
        <f t="shared" si="100"/>
        <v>0</v>
      </c>
      <c r="G735" s="114">
        <v>1</v>
      </c>
      <c r="H735" s="105">
        <f t="shared" si="99"/>
        <v>0</v>
      </c>
      <c r="I735" s="222">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1"/>
        <v>0</v>
      </c>
      <c r="X735" s="29"/>
      <c r="Y735" s="29">
        <f t="shared" si="102"/>
        <v>0</v>
      </c>
    </row>
    <row r="736" spans="1:25" ht="36" hidden="1">
      <c r="A736" s="295"/>
      <c r="B736" s="295"/>
      <c r="C736" s="295"/>
      <c r="D736" s="284"/>
      <c r="E736" s="73" t="s">
        <v>193</v>
      </c>
      <c r="F736" s="105">
        <f t="shared" si="100"/>
        <v>0</v>
      </c>
      <c r="G736" s="114">
        <v>1</v>
      </c>
      <c r="H736" s="105">
        <f t="shared" si="99"/>
        <v>0</v>
      </c>
      <c r="I736" s="222">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1"/>
        <v>0</v>
      </c>
      <c r="X736" s="29"/>
      <c r="Y736" s="29">
        <f t="shared" si="102"/>
        <v>0</v>
      </c>
    </row>
    <row r="737" spans="1:25" ht="36" hidden="1">
      <c r="A737" s="295"/>
      <c r="B737" s="295"/>
      <c r="C737" s="295"/>
      <c r="D737" s="284"/>
      <c r="E737" s="73" t="s">
        <v>1018</v>
      </c>
      <c r="F737" s="105">
        <f t="shared" si="100"/>
        <v>0</v>
      </c>
      <c r="G737" s="114">
        <v>1</v>
      </c>
      <c r="H737" s="105">
        <f t="shared" si="99"/>
        <v>0</v>
      </c>
      <c r="I737" s="222">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1"/>
        <v>0</v>
      </c>
      <c r="X737" s="29"/>
      <c r="Y737" s="29">
        <f t="shared" si="102"/>
        <v>0</v>
      </c>
    </row>
    <row r="738" spans="1:25" ht="44.25" customHeight="1">
      <c r="A738" s="295"/>
      <c r="B738" s="295"/>
      <c r="C738" s="295"/>
      <c r="D738" s="284"/>
      <c r="E738" s="73" t="s">
        <v>648</v>
      </c>
      <c r="F738" s="105">
        <f t="shared" si="100"/>
        <v>302000</v>
      </c>
      <c r="G738" s="114">
        <v>1</v>
      </c>
      <c r="H738" s="105">
        <f aca="true" t="shared" si="103" ref="H738:H799">J738</f>
        <v>302000</v>
      </c>
      <c r="I738" s="222">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1"/>
        <v>0</v>
      </c>
      <c r="X738" s="29">
        <f>19000</f>
        <v>19000</v>
      </c>
      <c r="Y738" s="29">
        <f t="shared" si="102"/>
        <v>178200</v>
      </c>
    </row>
    <row r="739" spans="1:25" ht="63" customHeight="1">
      <c r="A739" s="295"/>
      <c r="B739" s="295"/>
      <c r="C739" s="295"/>
      <c r="D739" s="284"/>
      <c r="E739" s="73" t="s">
        <v>106</v>
      </c>
      <c r="F739" s="105">
        <f aca="true" t="shared" si="104" ref="F739:F799">J739</f>
        <v>603000</v>
      </c>
      <c r="G739" s="114">
        <v>1</v>
      </c>
      <c r="H739" s="105">
        <f t="shared" si="103"/>
        <v>603000</v>
      </c>
      <c r="I739" s="222">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f>
        <v>0</v>
      </c>
      <c r="V739" s="182">
        <v>141705</v>
      </c>
      <c r="W739" s="29">
        <f t="shared" si="101"/>
        <v>0</v>
      </c>
      <c r="X739" s="29"/>
      <c r="Y739" s="29">
        <f t="shared" si="102"/>
        <v>461295</v>
      </c>
    </row>
    <row r="740" spans="1:25" ht="60.75" customHeight="1">
      <c r="A740" s="295"/>
      <c r="B740" s="295"/>
      <c r="C740" s="295"/>
      <c r="D740" s="284"/>
      <c r="E740" s="73" t="s">
        <v>1161</v>
      </c>
      <c r="F740" s="105">
        <f t="shared" si="104"/>
        <v>311000</v>
      </c>
      <c r="G740" s="114">
        <v>1</v>
      </c>
      <c r="H740" s="105">
        <f t="shared" si="103"/>
        <v>311000</v>
      </c>
      <c r="I740" s="222">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1"/>
        <v>0</v>
      </c>
      <c r="X740" s="29">
        <f>37000</f>
        <v>37000</v>
      </c>
      <c r="Y740" s="29">
        <f t="shared" si="102"/>
        <v>200915</v>
      </c>
    </row>
    <row r="741" spans="1:25" ht="156.75" customHeight="1">
      <c r="A741" s="295"/>
      <c r="B741" s="295"/>
      <c r="C741" s="295"/>
      <c r="D741" s="284"/>
      <c r="E741" s="189" t="s">
        <v>760</v>
      </c>
      <c r="F741" s="198">
        <f t="shared" si="104"/>
        <v>450000</v>
      </c>
      <c r="G741" s="199">
        <v>1</v>
      </c>
      <c r="H741" s="198">
        <f t="shared" si="103"/>
        <v>450000</v>
      </c>
      <c r="I741" s="229">
        <v>3132</v>
      </c>
      <c r="J741" s="206">
        <v>450000</v>
      </c>
      <c r="K741" s="193"/>
      <c r="L741" s="193">
        <v>450000</v>
      </c>
      <c r="M741" s="193"/>
      <c r="N741" s="193"/>
      <c r="O741" s="193"/>
      <c r="P741" s="193"/>
      <c r="Q741" s="193"/>
      <c r="R741" s="193"/>
      <c r="S741" s="193"/>
      <c r="T741" s="193"/>
      <c r="U741" s="193"/>
      <c r="V741" s="193"/>
      <c r="W741" s="29">
        <f t="shared" si="101"/>
        <v>0</v>
      </c>
      <c r="X741" s="29"/>
      <c r="Y741" s="29">
        <f t="shared" si="102"/>
        <v>450000</v>
      </c>
    </row>
    <row r="742" spans="1:25" ht="54" hidden="1">
      <c r="A742" s="295"/>
      <c r="B742" s="295"/>
      <c r="C742" s="295"/>
      <c r="D742" s="284"/>
      <c r="E742" s="73" t="s">
        <v>649</v>
      </c>
      <c r="F742" s="105">
        <f t="shared" si="104"/>
        <v>0</v>
      </c>
      <c r="G742" s="114">
        <v>1</v>
      </c>
      <c r="H742" s="105">
        <f t="shared" si="103"/>
        <v>0</v>
      </c>
      <c r="I742" s="222">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1"/>
        <v>0</v>
      </c>
      <c r="X742" s="29"/>
      <c r="Y742" s="29">
        <f t="shared" si="102"/>
        <v>0</v>
      </c>
    </row>
    <row r="743" spans="1:25" ht="61.5" customHeight="1" hidden="1">
      <c r="A743" s="295"/>
      <c r="B743" s="295"/>
      <c r="C743" s="295"/>
      <c r="D743" s="284"/>
      <c r="E743" s="73" t="s">
        <v>768</v>
      </c>
      <c r="F743" s="105">
        <f t="shared" si="104"/>
        <v>0</v>
      </c>
      <c r="G743" s="114">
        <v>1</v>
      </c>
      <c r="H743" s="105">
        <f t="shared" si="103"/>
        <v>0</v>
      </c>
      <c r="I743" s="222">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1"/>
        <v>0</v>
      </c>
      <c r="X743" s="29"/>
      <c r="Y743" s="29">
        <f t="shared" si="102"/>
        <v>0</v>
      </c>
    </row>
    <row r="744" spans="1:25" ht="141" customHeight="1">
      <c r="A744" s="295"/>
      <c r="B744" s="295"/>
      <c r="C744" s="295"/>
      <c r="D744" s="284"/>
      <c r="E744" s="189" t="s">
        <v>831</v>
      </c>
      <c r="F744" s="198">
        <f t="shared" si="104"/>
        <v>240000</v>
      </c>
      <c r="G744" s="199">
        <v>1</v>
      </c>
      <c r="H744" s="198">
        <f t="shared" si="103"/>
        <v>240000</v>
      </c>
      <c r="I744" s="229">
        <v>3132</v>
      </c>
      <c r="J744" s="206">
        <v>240000</v>
      </c>
      <c r="K744" s="193"/>
      <c r="L744" s="193">
        <v>240000</v>
      </c>
      <c r="M744" s="193"/>
      <c r="N744" s="193"/>
      <c r="O744" s="193"/>
      <c r="P744" s="193"/>
      <c r="Q744" s="193"/>
      <c r="R744" s="193"/>
      <c r="S744" s="193"/>
      <c r="T744" s="193"/>
      <c r="U744" s="193"/>
      <c r="V744" s="193"/>
      <c r="W744" s="29">
        <f t="shared" si="101"/>
        <v>0</v>
      </c>
      <c r="X744" s="29">
        <f>23000</f>
        <v>23000</v>
      </c>
      <c r="Y744" s="29">
        <f t="shared" si="102"/>
        <v>217000</v>
      </c>
    </row>
    <row r="745" spans="1:25" ht="75">
      <c r="A745" s="295"/>
      <c r="B745" s="295"/>
      <c r="C745" s="295"/>
      <c r="D745" s="284"/>
      <c r="E745" s="73" t="s">
        <v>236</v>
      </c>
      <c r="F745" s="105">
        <f t="shared" si="104"/>
        <v>580000</v>
      </c>
      <c r="G745" s="114">
        <v>1</v>
      </c>
      <c r="H745" s="105">
        <f t="shared" si="103"/>
        <v>580000</v>
      </c>
      <c r="I745" s="222">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1"/>
        <v>0</v>
      </c>
      <c r="X745" s="29"/>
      <c r="Y745" s="29">
        <f t="shared" si="102"/>
        <v>406000</v>
      </c>
    </row>
    <row r="746" spans="1:25" ht="81.75" customHeight="1" hidden="1">
      <c r="A746" s="295"/>
      <c r="B746" s="295"/>
      <c r="C746" s="295"/>
      <c r="D746" s="284"/>
      <c r="E746" s="73" t="s">
        <v>659</v>
      </c>
      <c r="F746" s="105">
        <f t="shared" si="104"/>
        <v>0</v>
      </c>
      <c r="G746" s="114">
        <v>1</v>
      </c>
      <c r="H746" s="105">
        <f t="shared" si="103"/>
        <v>0</v>
      </c>
      <c r="I746" s="222">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5" ref="W746:W828">J746-K746-L746-M746-N746-O746-P746-Q746-R746-S746-T746-U746-V746</f>
        <v>0</v>
      </c>
      <c r="X746" s="29"/>
      <c r="Y746" s="29">
        <f t="shared" si="102"/>
        <v>0</v>
      </c>
    </row>
    <row r="747" spans="1:25" ht="60.75" customHeight="1">
      <c r="A747" s="295"/>
      <c r="B747" s="295"/>
      <c r="C747" s="295"/>
      <c r="D747" s="284"/>
      <c r="E747" s="73" t="s">
        <v>566</v>
      </c>
      <c r="F747" s="105">
        <f t="shared" si="104"/>
        <v>133000</v>
      </c>
      <c r="G747" s="114">
        <v>1</v>
      </c>
      <c r="H747" s="105">
        <f t="shared" si="103"/>
        <v>133000</v>
      </c>
      <c r="I747" s="222">
        <v>3132</v>
      </c>
      <c r="J747" s="54">
        <v>133000</v>
      </c>
      <c r="K747" s="182"/>
      <c r="L747" s="182"/>
      <c r="M747" s="182">
        <v>13300</v>
      </c>
      <c r="N747" s="182"/>
      <c r="O747" s="182">
        <v>-13300</v>
      </c>
      <c r="P747" s="182"/>
      <c r="Q747" s="182"/>
      <c r="R747" s="182"/>
      <c r="S747" s="182">
        <v>93100</v>
      </c>
      <c r="T747" s="182"/>
      <c r="U747" s="182">
        <f>26600+13300</f>
        <v>39900</v>
      </c>
      <c r="V747" s="182"/>
      <c r="W747" s="29">
        <f t="shared" si="105"/>
        <v>0</v>
      </c>
      <c r="X747" s="29"/>
      <c r="Y747" s="29">
        <f t="shared" si="102"/>
        <v>93100</v>
      </c>
    </row>
    <row r="748" spans="1:25" ht="54" hidden="1">
      <c r="A748" s="295"/>
      <c r="B748" s="295"/>
      <c r="C748" s="295"/>
      <c r="D748" s="284"/>
      <c r="E748" s="73" t="s">
        <v>329</v>
      </c>
      <c r="F748" s="105">
        <f t="shared" si="104"/>
        <v>0</v>
      </c>
      <c r="G748" s="114">
        <v>1</v>
      </c>
      <c r="H748" s="105">
        <f t="shared" si="103"/>
        <v>0</v>
      </c>
      <c r="I748" s="222">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5"/>
        <v>0</v>
      </c>
      <c r="X748" s="29"/>
      <c r="Y748" s="29">
        <f t="shared" si="102"/>
        <v>0</v>
      </c>
    </row>
    <row r="749" spans="1:25" ht="81.75" customHeight="1">
      <c r="A749" s="295"/>
      <c r="B749" s="295"/>
      <c r="C749" s="295"/>
      <c r="D749" s="284"/>
      <c r="E749" s="73" t="s">
        <v>1234</v>
      </c>
      <c r="F749" s="105">
        <f t="shared" si="104"/>
        <v>133000</v>
      </c>
      <c r="G749" s="114">
        <v>1</v>
      </c>
      <c r="H749" s="105">
        <f t="shared" si="103"/>
        <v>133000</v>
      </c>
      <c r="I749" s="222">
        <v>3132</v>
      </c>
      <c r="J749" s="54">
        <v>133000</v>
      </c>
      <c r="K749" s="182"/>
      <c r="L749" s="182"/>
      <c r="M749" s="182">
        <v>13300</v>
      </c>
      <c r="N749" s="182"/>
      <c r="O749" s="182">
        <v>-13300</v>
      </c>
      <c r="P749" s="182"/>
      <c r="Q749" s="182"/>
      <c r="R749" s="182"/>
      <c r="S749" s="182">
        <v>93100</v>
      </c>
      <c r="T749" s="182"/>
      <c r="U749" s="182">
        <f>26600+13300</f>
        <v>39900</v>
      </c>
      <c r="V749" s="182"/>
      <c r="W749" s="29">
        <f t="shared" si="105"/>
        <v>0</v>
      </c>
      <c r="X749" s="29">
        <f>19000</f>
        <v>19000</v>
      </c>
      <c r="Y749" s="29">
        <f t="shared" si="102"/>
        <v>74100</v>
      </c>
    </row>
    <row r="750" spans="1:25" ht="37.5">
      <c r="A750" s="295"/>
      <c r="B750" s="295"/>
      <c r="C750" s="295"/>
      <c r="D750" s="284"/>
      <c r="E750" s="73" t="s">
        <v>170</v>
      </c>
      <c r="F750" s="105">
        <f t="shared" si="104"/>
        <v>615100</v>
      </c>
      <c r="G750" s="114">
        <v>1</v>
      </c>
      <c r="H750" s="105">
        <f t="shared" si="103"/>
        <v>615100</v>
      </c>
      <c r="I750" s="222">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5"/>
        <v>0</v>
      </c>
      <c r="X750" s="29">
        <f>32000+25000+400000+155501.4</f>
        <v>612501.4</v>
      </c>
      <c r="Y750" s="29">
        <f t="shared" si="102"/>
        <v>0.010000000009313226</v>
      </c>
    </row>
    <row r="751" spans="1:25" ht="37.5">
      <c r="A751" s="295"/>
      <c r="B751" s="295"/>
      <c r="C751" s="295"/>
      <c r="D751" s="284"/>
      <c r="E751" s="73" t="s">
        <v>565</v>
      </c>
      <c r="F751" s="105">
        <f t="shared" si="104"/>
        <v>540731.53</v>
      </c>
      <c r="G751" s="114">
        <v>1</v>
      </c>
      <c r="H751" s="105">
        <f t="shared" si="103"/>
        <v>540731.53</v>
      </c>
      <c r="I751" s="222">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5"/>
        <v>2.1827872842550278E-11</v>
      </c>
      <c r="X751" s="29">
        <f>28000+20000+360000+130576.93</f>
        <v>538576.9299999999</v>
      </c>
      <c r="Y751" s="29">
        <f t="shared" si="102"/>
        <v>2154.600000000093</v>
      </c>
    </row>
    <row r="752" spans="1:25" ht="30" customHeight="1">
      <c r="A752" s="295"/>
      <c r="B752" s="295"/>
      <c r="C752" s="295"/>
      <c r="D752" s="284"/>
      <c r="E752" s="73" t="s">
        <v>75</v>
      </c>
      <c r="F752" s="105">
        <f t="shared" si="104"/>
        <v>626000</v>
      </c>
      <c r="G752" s="114">
        <v>1</v>
      </c>
      <c r="H752" s="105">
        <f t="shared" si="103"/>
        <v>626000</v>
      </c>
      <c r="I752" s="222">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5"/>
        <v>-2.9103830456733704E-11</v>
      </c>
      <c r="X752" s="29">
        <f>30355.2+405000</f>
        <v>435355.2</v>
      </c>
      <c r="Y752" s="29">
        <f t="shared" si="102"/>
        <v>168644.8</v>
      </c>
    </row>
    <row r="753" spans="1:25" ht="133.5" customHeight="1" hidden="1">
      <c r="A753" s="295"/>
      <c r="B753" s="295"/>
      <c r="C753" s="295"/>
      <c r="D753" s="284"/>
      <c r="E753" s="189" t="s">
        <v>567</v>
      </c>
      <c r="F753" s="198">
        <f t="shared" si="104"/>
        <v>0</v>
      </c>
      <c r="G753" s="199">
        <v>1</v>
      </c>
      <c r="H753" s="198">
        <f t="shared" si="103"/>
        <v>0</v>
      </c>
      <c r="I753" s="229">
        <v>3132</v>
      </c>
      <c r="J753" s="206">
        <f>134745-134745</f>
        <v>0</v>
      </c>
      <c r="K753" s="193"/>
      <c r="L753" s="193">
        <v>134745</v>
      </c>
      <c r="M753" s="193"/>
      <c r="N753" s="193"/>
      <c r="O753" s="193"/>
      <c r="P753" s="193"/>
      <c r="Q753" s="193"/>
      <c r="R753" s="193">
        <v>-134745</v>
      </c>
      <c r="S753" s="193"/>
      <c r="T753" s="193"/>
      <c r="U753" s="193"/>
      <c r="V753" s="193"/>
      <c r="W753" s="29">
        <f t="shared" si="105"/>
        <v>0</v>
      </c>
      <c r="X753" s="29"/>
      <c r="Y753" s="29">
        <f t="shared" si="102"/>
        <v>0</v>
      </c>
    </row>
    <row r="754" spans="1:25" ht="187.5">
      <c r="A754" s="295"/>
      <c r="B754" s="295"/>
      <c r="C754" s="295"/>
      <c r="D754" s="284"/>
      <c r="E754" s="189" t="s">
        <v>539</v>
      </c>
      <c r="F754" s="198">
        <f t="shared" si="104"/>
        <v>2650745</v>
      </c>
      <c r="G754" s="199">
        <v>1</v>
      </c>
      <c r="H754" s="198">
        <f t="shared" si="103"/>
        <v>2650745</v>
      </c>
      <c r="I754" s="229">
        <v>3132</v>
      </c>
      <c r="J754" s="206">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5"/>
        <v>0</v>
      </c>
      <c r="X754" s="29">
        <f>86000+194000</f>
        <v>280000</v>
      </c>
      <c r="Y754" s="29">
        <f t="shared" si="102"/>
        <v>187545</v>
      </c>
    </row>
    <row r="755" spans="1:25" ht="62.25" customHeight="1">
      <c r="A755" s="295"/>
      <c r="B755" s="295"/>
      <c r="C755" s="295"/>
      <c r="D755" s="284"/>
      <c r="E755" s="73" t="s">
        <v>826</v>
      </c>
      <c r="F755" s="105">
        <f t="shared" si="104"/>
        <v>1034000</v>
      </c>
      <c r="G755" s="114">
        <v>1</v>
      </c>
      <c r="H755" s="105">
        <f t="shared" si="103"/>
        <v>1034000</v>
      </c>
      <c r="I755" s="222">
        <v>3132</v>
      </c>
      <c r="J755" s="54">
        <f>2034000-1000000</f>
        <v>1034000</v>
      </c>
      <c r="K755" s="182"/>
      <c r="L755" s="182"/>
      <c r="M755" s="182">
        <v>203400</v>
      </c>
      <c r="N755" s="182"/>
      <c r="O755" s="182"/>
      <c r="P755" s="182"/>
      <c r="Q755" s="182"/>
      <c r="R755" s="182"/>
      <c r="S755" s="182">
        <v>-3300</v>
      </c>
      <c r="T755" s="182"/>
      <c r="U755" s="182">
        <f>915300-500000</f>
        <v>415300</v>
      </c>
      <c r="V755" s="182">
        <f>915300+3300-500000</f>
        <v>418600</v>
      </c>
      <c r="W755" s="29">
        <f t="shared" si="105"/>
        <v>0</v>
      </c>
      <c r="X755" s="29">
        <f>57425.03+133991.74</f>
        <v>191416.77</v>
      </c>
      <c r="Y755" s="29">
        <f t="shared" si="102"/>
        <v>8683.23000000001</v>
      </c>
    </row>
    <row r="756" spans="1:25" ht="56.25">
      <c r="A756" s="295"/>
      <c r="B756" s="295"/>
      <c r="C756" s="295"/>
      <c r="D756" s="284"/>
      <c r="E756" s="73" t="s">
        <v>828</v>
      </c>
      <c r="F756" s="105">
        <f t="shared" si="104"/>
        <v>3403763</v>
      </c>
      <c r="G756" s="114">
        <v>1</v>
      </c>
      <c r="H756" s="105">
        <f t="shared" si="103"/>
        <v>3403763</v>
      </c>
      <c r="I756" s="222">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5"/>
        <v>0</v>
      </c>
      <c r="X756" s="29">
        <f>1100000+1156000+18212.82+1065275+3249</f>
        <v>3342736.82</v>
      </c>
      <c r="Y756" s="29">
        <f t="shared" si="102"/>
        <v>51</v>
      </c>
    </row>
    <row r="757" spans="1:25" ht="37.5">
      <c r="A757" s="295"/>
      <c r="B757" s="295"/>
      <c r="C757" s="295"/>
      <c r="D757" s="284"/>
      <c r="E757" s="73" t="s">
        <v>527</v>
      </c>
      <c r="F757" s="105">
        <f t="shared" si="104"/>
        <v>1579484.39</v>
      </c>
      <c r="G757" s="114">
        <v>1</v>
      </c>
      <c r="H757" s="105">
        <f t="shared" si="103"/>
        <v>1579484.39</v>
      </c>
      <c r="I757" s="222">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5"/>
        <v>-1.0186340659856796E-10</v>
      </c>
      <c r="X757" s="29">
        <f>33000+26000+1050000+337396.91+20161.07+107484.39</f>
        <v>1574042.3699999999</v>
      </c>
      <c r="Y757" s="29">
        <f t="shared" si="102"/>
        <v>5442.020000000019</v>
      </c>
    </row>
    <row r="758" spans="1:25" ht="18.75">
      <c r="A758" s="295"/>
      <c r="B758" s="295"/>
      <c r="C758" s="295"/>
      <c r="D758" s="284"/>
      <c r="E758" s="73" t="s">
        <v>824</v>
      </c>
      <c r="F758" s="105">
        <f t="shared" si="104"/>
        <v>367000</v>
      </c>
      <c r="G758" s="114">
        <v>1</v>
      </c>
      <c r="H758" s="105">
        <f t="shared" si="103"/>
        <v>367000</v>
      </c>
      <c r="I758" s="222">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5"/>
        <v>0</v>
      </c>
      <c r="X758" s="29">
        <f>67000+51000+51000</f>
        <v>169000</v>
      </c>
      <c r="Y758" s="29">
        <f aca="true" t="shared" si="106" ref="Y758:Y824">K758+L758+M758+N758+O758+P758+Q758+R758+S758+T758-X758</f>
        <v>0</v>
      </c>
    </row>
    <row r="759" spans="1:25" ht="34.5" customHeight="1">
      <c r="A759" s="295"/>
      <c r="B759" s="295"/>
      <c r="C759" s="295"/>
      <c r="D759" s="284"/>
      <c r="E759" s="73" t="s">
        <v>1248</v>
      </c>
      <c r="F759" s="105">
        <f t="shared" si="104"/>
        <v>837000</v>
      </c>
      <c r="G759" s="114">
        <v>1</v>
      </c>
      <c r="H759" s="105">
        <f t="shared" si="103"/>
        <v>837000</v>
      </c>
      <c r="I759" s="222">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5"/>
        <v>0</v>
      </c>
      <c r="X759" s="29">
        <f>21000+23000+763798.77+11597.8</f>
        <v>819396.5700000001</v>
      </c>
      <c r="Y759" s="29">
        <f t="shared" si="106"/>
        <v>17603.429999999935</v>
      </c>
    </row>
    <row r="760" spans="1:25" ht="55.5" customHeight="1">
      <c r="A760" s="295"/>
      <c r="B760" s="295"/>
      <c r="C760" s="295"/>
      <c r="D760" s="284"/>
      <c r="E760" s="73" t="s">
        <v>825</v>
      </c>
      <c r="F760" s="105">
        <f t="shared" si="104"/>
        <v>346468.69</v>
      </c>
      <c r="G760" s="114">
        <v>1</v>
      </c>
      <c r="H760" s="105">
        <f t="shared" si="103"/>
        <v>346468.69</v>
      </c>
      <c r="I760" s="222">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f>
        <v>46468.69</v>
      </c>
      <c r="V760" s="182">
        <f>153400-153400+270000-183000</f>
        <v>87000</v>
      </c>
      <c r="W760" s="29">
        <f t="shared" si="105"/>
        <v>0</v>
      </c>
      <c r="X760" s="29">
        <f>15000+11000+187000</f>
        <v>213000</v>
      </c>
      <c r="Y760" s="29">
        <f t="shared" si="106"/>
        <v>0</v>
      </c>
    </row>
    <row r="761" spans="1:25" ht="96" customHeight="1">
      <c r="A761" s="295"/>
      <c r="B761" s="295"/>
      <c r="C761" s="295"/>
      <c r="D761" s="284"/>
      <c r="E761" s="189" t="s">
        <v>26</v>
      </c>
      <c r="F761" s="198">
        <f t="shared" si="104"/>
        <v>70000</v>
      </c>
      <c r="G761" s="199">
        <v>1</v>
      </c>
      <c r="H761" s="198">
        <f t="shared" si="103"/>
        <v>70000</v>
      </c>
      <c r="I761" s="229">
        <v>3132</v>
      </c>
      <c r="J761" s="206">
        <v>70000</v>
      </c>
      <c r="K761" s="193"/>
      <c r="L761" s="193">
        <v>70000</v>
      </c>
      <c r="M761" s="193"/>
      <c r="N761" s="193"/>
      <c r="O761" s="193"/>
      <c r="P761" s="193"/>
      <c r="Q761" s="193"/>
      <c r="R761" s="193"/>
      <c r="S761" s="193"/>
      <c r="T761" s="193"/>
      <c r="U761" s="193"/>
      <c r="V761" s="193"/>
      <c r="W761" s="29">
        <f t="shared" si="105"/>
        <v>0</v>
      </c>
      <c r="X761" s="29"/>
      <c r="Y761" s="29">
        <f t="shared" si="106"/>
        <v>70000</v>
      </c>
    </row>
    <row r="762" spans="1:25" ht="93.75">
      <c r="A762" s="295"/>
      <c r="B762" s="295"/>
      <c r="C762" s="295"/>
      <c r="D762" s="284"/>
      <c r="E762" s="73" t="s">
        <v>32</v>
      </c>
      <c r="F762" s="105">
        <f t="shared" si="104"/>
        <v>918900</v>
      </c>
      <c r="G762" s="114">
        <v>1</v>
      </c>
      <c r="H762" s="105">
        <f t="shared" si="103"/>
        <v>918900</v>
      </c>
      <c r="I762" s="222">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5"/>
        <v>0</v>
      </c>
      <c r="X762" s="29">
        <f>68000</f>
        <v>68000</v>
      </c>
      <c r="Y762" s="29">
        <f t="shared" si="106"/>
        <v>700310.8</v>
      </c>
    </row>
    <row r="763" spans="1:25" ht="37.5">
      <c r="A763" s="295"/>
      <c r="B763" s="295"/>
      <c r="C763" s="295"/>
      <c r="D763" s="284"/>
      <c r="E763" s="73" t="s">
        <v>829</v>
      </c>
      <c r="F763" s="105">
        <f t="shared" si="104"/>
        <v>1409500</v>
      </c>
      <c r="G763" s="114">
        <v>1</v>
      </c>
      <c r="H763" s="105">
        <f t="shared" si="103"/>
        <v>1409500</v>
      </c>
      <c r="I763" s="222">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5"/>
        <v>0</v>
      </c>
      <c r="X763" s="29">
        <f>1403890.61</f>
        <v>1403890.61</v>
      </c>
      <c r="Y763" s="29">
        <f t="shared" si="106"/>
        <v>5609.389999999898</v>
      </c>
    </row>
    <row r="764" spans="1:25" ht="56.25">
      <c r="A764" s="295"/>
      <c r="B764" s="295"/>
      <c r="C764" s="295"/>
      <c r="D764" s="284"/>
      <c r="E764" s="73" t="s">
        <v>1006</v>
      </c>
      <c r="F764" s="105"/>
      <c r="G764" s="114"/>
      <c r="H764" s="105"/>
      <c r="I764" s="222">
        <v>3132</v>
      </c>
      <c r="J764" s="54">
        <v>1000000</v>
      </c>
      <c r="K764" s="182"/>
      <c r="L764" s="182"/>
      <c r="M764" s="182"/>
      <c r="N764" s="182"/>
      <c r="O764" s="182"/>
      <c r="P764" s="182"/>
      <c r="Q764" s="182"/>
      <c r="R764" s="182"/>
      <c r="S764" s="182"/>
      <c r="T764" s="182"/>
      <c r="U764" s="182">
        <f>500000</f>
        <v>500000</v>
      </c>
      <c r="V764" s="182">
        <f>500000</f>
        <v>500000</v>
      </c>
      <c r="W764" s="29">
        <f t="shared" si="105"/>
        <v>0</v>
      </c>
      <c r="X764" s="29"/>
      <c r="Y764" s="29">
        <f t="shared" si="106"/>
        <v>0</v>
      </c>
    </row>
    <row r="765" spans="1:25" ht="56.25">
      <c r="A765" s="295"/>
      <c r="B765" s="295"/>
      <c r="C765" s="295"/>
      <c r="D765" s="284"/>
      <c r="E765" s="73" t="s">
        <v>1164</v>
      </c>
      <c r="F765" s="105">
        <f t="shared" si="104"/>
        <v>6345598</v>
      </c>
      <c r="G765" s="114">
        <v>1</v>
      </c>
      <c r="H765" s="105">
        <f t="shared" si="103"/>
        <v>6345598</v>
      </c>
      <c r="I765" s="222">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5"/>
        <v>0</v>
      </c>
      <c r="X765" s="29">
        <f>1339880+284982.79+729917+12975.28+802117+33772+1104914+333262+432700+1042.77+750.67+297957+607379.23</f>
        <v>5981649.74</v>
      </c>
      <c r="Y765" s="29">
        <f t="shared" si="106"/>
        <v>363948.2599999998</v>
      </c>
    </row>
    <row r="766" spans="1:25" ht="37.5">
      <c r="A766" s="295"/>
      <c r="B766" s="295"/>
      <c r="C766" s="295"/>
      <c r="D766" s="284"/>
      <c r="E766" s="73" t="s">
        <v>589</v>
      </c>
      <c r="F766" s="105">
        <f t="shared" si="104"/>
        <v>7206455</v>
      </c>
      <c r="G766" s="114">
        <v>1</v>
      </c>
      <c r="H766" s="105">
        <f t="shared" si="103"/>
        <v>7206455</v>
      </c>
      <c r="I766" s="222">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5"/>
        <v>0</v>
      </c>
      <c r="X766" s="29">
        <f>2533359+1399329+550855.11+10835.8+27896.98+8030.76</f>
        <v>4530306.65</v>
      </c>
      <c r="Y766" s="29">
        <f t="shared" si="106"/>
        <v>1511158.9399999995</v>
      </c>
    </row>
    <row r="767" spans="1:25" ht="37.5">
      <c r="A767" s="295"/>
      <c r="B767" s="295"/>
      <c r="C767" s="295"/>
      <c r="D767" s="284"/>
      <c r="E767" s="73" t="s">
        <v>933</v>
      </c>
      <c r="F767" s="105">
        <f t="shared" si="104"/>
        <v>7178629</v>
      </c>
      <c r="G767" s="114">
        <v>1</v>
      </c>
      <c r="H767" s="105">
        <f t="shared" si="103"/>
        <v>7178629</v>
      </c>
      <c r="I767" s="222">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5"/>
        <v>0</v>
      </c>
      <c r="X767" s="29">
        <f>2293500</f>
        <v>2293500</v>
      </c>
      <c r="Y767" s="29">
        <f t="shared" si="106"/>
        <v>335129</v>
      </c>
    </row>
    <row r="768" spans="1:25" ht="41.25" customHeight="1">
      <c r="A768" s="295"/>
      <c r="B768" s="295"/>
      <c r="C768" s="295"/>
      <c r="D768" s="284"/>
      <c r="E768" s="73" t="s">
        <v>616</v>
      </c>
      <c r="F768" s="105">
        <f t="shared" si="104"/>
        <v>443000</v>
      </c>
      <c r="G768" s="114">
        <v>1</v>
      </c>
      <c r="H768" s="105">
        <f t="shared" si="103"/>
        <v>443000</v>
      </c>
      <c r="I768" s="222">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5"/>
        <v>0</v>
      </c>
      <c r="X768" s="29">
        <f>34000+24000+80000+69000</f>
        <v>207000</v>
      </c>
      <c r="Y768" s="29">
        <f t="shared" si="106"/>
        <v>147400</v>
      </c>
    </row>
    <row r="769" spans="1:25" ht="75.75" customHeight="1" hidden="1">
      <c r="A769" s="295"/>
      <c r="B769" s="295"/>
      <c r="C769" s="295"/>
      <c r="D769" s="284"/>
      <c r="E769" s="73" t="s">
        <v>732</v>
      </c>
      <c r="F769" s="105">
        <f t="shared" si="104"/>
        <v>0</v>
      </c>
      <c r="G769" s="114">
        <v>1</v>
      </c>
      <c r="H769" s="105">
        <f t="shared" si="103"/>
        <v>0</v>
      </c>
      <c r="I769" s="222">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5"/>
        <v>2.1827872842550278E-10</v>
      </c>
      <c r="X769" s="29"/>
      <c r="Y769" s="29">
        <f t="shared" si="106"/>
        <v>-2.1827872842550278E-10</v>
      </c>
    </row>
    <row r="770" spans="1:25" ht="60.75" customHeight="1">
      <c r="A770" s="295"/>
      <c r="B770" s="295"/>
      <c r="C770" s="295"/>
      <c r="D770" s="284"/>
      <c r="E770" s="73" t="s">
        <v>543</v>
      </c>
      <c r="F770" s="105">
        <f>J770</f>
        <v>200000</v>
      </c>
      <c r="G770" s="114">
        <v>1</v>
      </c>
      <c r="H770" s="105">
        <f>J770</f>
        <v>200000</v>
      </c>
      <c r="I770" s="222">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9">
        <f>K770+L770+M770+N770+O770+P770+Q770+R770+S770+T770-X770</f>
        <v>200000</v>
      </c>
    </row>
    <row r="771" spans="1:25" ht="56.25">
      <c r="A771" s="295"/>
      <c r="B771" s="295"/>
      <c r="C771" s="295"/>
      <c r="D771" s="284"/>
      <c r="E771" s="73" t="s">
        <v>1163</v>
      </c>
      <c r="F771" s="105">
        <f t="shared" si="104"/>
        <v>3700000</v>
      </c>
      <c r="G771" s="114">
        <v>1</v>
      </c>
      <c r="H771" s="105">
        <f t="shared" si="103"/>
        <v>3700000</v>
      </c>
      <c r="I771" s="222">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5"/>
        <v>0</v>
      </c>
      <c r="X771" s="29">
        <f>1800000+924034.8</f>
        <v>2724034.8</v>
      </c>
      <c r="Y771" s="29">
        <f t="shared" si="106"/>
        <v>975965.2000000002</v>
      </c>
    </row>
    <row r="772" spans="1:25" ht="37.5">
      <c r="A772" s="295"/>
      <c r="B772" s="295"/>
      <c r="C772" s="295"/>
      <c r="D772" s="284"/>
      <c r="E772" s="73" t="s">
        <v>812</v>
      </c>
      <c r="F772" s="105">
        <f t="shared" si="104"/>
        <v>516000</v>
      </c>
      <c r="G772" s="114">
        <v>1</v>
      </c>
      <c r="H772" s="105">
        <f t="shared" si="103"/>
        <v>516000</v>
      </c>
      <c r="I772" s="222">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5"/>
        <v>0</v>
      </c>
      <c r="X772" s="29">
        <f>173000+308000</f>
        <v>481000</v>
      </c>
      <c r="Y772" s="29">
        <f t="shared" si="106"/>
        <v>600</v>
      </c>
    </row>
    <row r="773" spans="1:25" ht="59.25" customHeight="1" hidden="1">
      <c r="A773" s="295"/>
      <c r="B773" s="295"/>
      <c r="C773" s="295"/>
      <c r="D773" s="284"/>
      <c r="E773" s="73" t="s">
        <v>335</v>
      </c>
      <c r="F773" s="105">
        <f t="shared" si="104"/>
        <v>0</v>
      </c>
      <c r="G773" s="114">
        <v>1</v>
      </c>
      <c r="H773" s="105">
        <f t="shared" si="103"/>
        <v>0</v>
      </c>
      <c r="I773" s="222">
        <v>3132</v>
      </c>
      <c r="J773" s="54">
        <f>117000-117000</f>
        <v>0</v>
      </c>
      <c r="K773" s="182"/>
      <c r="L773" s="182"/>
      <c r="M773" s="182"/>
      <c r="N773" s="182"/>
      <c r="O773" s="182"/>
      <c r="P773" s="182">
        <f>117000-117000</f>
        <v>0</v>
      </c>
      <c r="Q773" s="182"/>
      <c r="R773" s="182"/>
      <c r="S773" s="182"/>
      <c r="T773" s="182">
        <f>117000-117000</f>
        <v>0</v>
      </c>
      <c r="U773" s="182"/>
      <c r="V773" s="182"/>
      <c r="W773" s="29">
        <f t="shared" si="105"/>
        <v>0</v>
      </c>
      <c r="X773" s="29"/>
      <c r="Y773" s="29">
        <f t="shared" si="106"/>
        <v>0</v>
      </c>
    </row>
    <row r="774" spans="1:25" ht="60" customHeight="1" hidden="1">
      <c r="A774" s="295"/>
      <c r="B774" s="295"/>
      <c r="C774" s="295"/>
      <c r="D774" s="284"/>
      <c r="E774" s="73" t="s">
        <v>336</v>
      </c>
      <c r="F774" s="105">
        <f t="shared" si="104"/>
        <v>0</v>
      </c>
      <c r="G774" s="114">
        <v>1</v>
      </c>
      <c r="H774" s="105">
        <f t="shared" si="103"/>
        <v>0</v>
      </c>
      <c r="I774" s="222">
        <v>3132</v>
      </c>
      <c r="J774" s="54">
        <f>116000-116000</f>
        <v>0</v>
      </c>
      <c r="K774" s="182"/>
      <c r="L774" s="182"/>
      <c r="M774" s="182"/>
      <c r="N774" s="182"/>
      <c r="O774" s="182"/>
      <c r="P774" s="182">
        <f>116000-116000</f>
        <v>0</v>
      </c>
      <c r="Q774" s="182"/>
      <c r="R774" s="182"/>
      <c r="S774" s="182">
        <f>116000-116000</f>
        <v>0</v>
      </c>
      <c r="T774" s="182"/>
      <c r="U774" s="182"/>
      <c r="V774" s="182"/>
      <c r="W774" s="29">
        <f t="shared" si="105"/>
        <v>0</v>
      </c>
      <c r="X774" s="29"/>
      <c r="Y774" s="29">
        <f t="shared" si="106"/>
        <v>0</v>
      </c>
    </row>
    <row r="775" spans="1:25" ht="60" customHeight="1">
      <c r="A775" s="295"/>
      <c r="B775" s="295"/>
      <c r="C775" s="295"/>
      <c r="D775" s="284"/>
      <c r="E775" s="73" t="s">
        <v>131</v>
      </c>
      <c r="F775" s="105"/>
      <c r="G775" s="114"/>
      <c r="H775" s="105"/>
      <c r="I775" s="222">
        <v>3132</v>
      </c>
      <c r="J775" s="54">
        <f>750000-50000</f>
        <v>700000</v>
      </c>
      <c r="K775" s="182"/>
      <c r="L775" s="182"/>
      <c r="M775" s="182"/>
      <c r="N775" s="182"/>
      <c r="O775" s="182"/>
      <c r="P775" s="182">
        <f>400000-50000</f>
        <v>350000</v>
      </c>
      <c r="Q775" s="182"/>
      <c r="R775" s="182"/>
      <c r="S775" s="182"/>
      <c r="T775" s="182"/>
      <c r="U775" s="182"/>
      <c r="V775" s="182">
        <v>350000</v>
      </c>
      <c r="W775" s="29">
        <f t="shared" si="105"/>
        <v>0</v>
      </c>
      <c r="X775" s="29"/>
      <c r="Y775" s="29">
        <f t="shared" si="106"/>
        <v>350000</v>
      </c>
    </row>
    <row r="776" spans="1:25" ht="60" customHeight="1" hidden="1">
      <c r="A776" s="295"/>
      <c r="B776" s="295"/>
      <c r="C776" s="295"/>
      <c r="D776" s="284"/>
      <c r="E776" s="73" t="s">
        <v>133</v>
      </c>
      <c r="F776" s="105"/>
      <c r="G776" s="114"/>
      <c r="H776" s="105"/>
      <c r="I776" s="222">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9">
        <f t="shared" si="106"/>
        <v>0</v>
      </c>
    </row>
    <row r="777" spans="1:25" ht="37.5">
      <c r="A777" s="295"/>
      <c r="B777" s="295"/>
      <c r="C777" s="295"/>
      <c r="D777" s="284"/>
      <c r="E777" s="73" t="s">
        <v>932</v>
      </c>
      <c r="F777" s="105">
        <f t="shared" si="104"/>
        <v>6986700</v>
      </c>
      <c r="G777" s="114">
        <v>1</v>
      </c>
      <c r="H777" s="105">
        <f t="shared" si="103"/>
        <v>6986700</v>
      </c>
      <c r="I777" s="222">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5"/>
        <v>0</v>
      </c>
      <c r="X777" s="29">
        <f>2873000+2837862.43-2308122.56+2529936.44+3102.91+5687.16+998598.16</f>
        <v>6940064.54</v>
      </c>
      <c r="Y777" s="29">
        <f t="shared" si="106"/>
        <v>46635.45999999996</v>
      </c>
    </row>
    <row r="778" spans="1:25" ht="36" hidden="1">
      <c r="A778" s="295"/>
      <c r="B778" s="295"/>
      <c r="C778" s="295"/>
      <c r="D778" s="284"/>
      <c r="E778" s="73" t="s">
        <v>823</v>
      </c>
      <c r="F778" s="105">
        <f t="shared" si="104"/>
        <v>0</v>
      </c>
      <c r="G778" s="114">
        <v>1</v>
      </c>
      <c r="H778" s="105">
        <f t="shared" si="103"/>
        <v>0</v>
      </c>
      <c r="I778" s="222">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5"/>
        <v>-2.9103830456733704E-11</v>
      </c>
      <c r="X778" s="29"/>
      <c r="Y778" s="29">
        <f t="shared" si="106"/>
        <v>2.9103830456733704E-11</v>
      </c>
    </row>
    <row r="779" spans="1:25" ht="56.25">
      <c r="A779" s="295"/>
      <c r="B779" s="295"/>
      <c r="C779" s="295"/>
      <c r="D779" s="284"/>
      <c r="E779" s="73" t="s">
        <v>1232</v>
      </c>
      <c r="F779" s="105">
        <f t="shared" si="104"/>
        <v>1075266.75</v>
      </c>
      <c r="G779" s="114">
        <v>1</v>
      </c>
      <c r="H779" s="105">
        <f t="shared" si="103"/>
        <v>1075266.75</v>
      </c>
      <c r="I779" s="222">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5"/>
        <v>0</v>
      </c>
      <c r="X779" s="29">
        <f>29000+21000+500000+126781.74</f>
        <v>676781.74</v>
      </c>
      <c r="Y779" s="29">
        <f t="shared" si="106"/>
        <v>398485.01</v>
      </c>
    </row>
    <row r="780" spans="1:25" ht="56.25">
      <c r="A780" s="295"/>
      <c r="B780" s="295"/>
      <c r="C780" s="295"/>
      <c r="D780" s="284"/>
      <c r="E780" s="73" t="s">
        <v>827</v>
      </c>
      <c r="F780" s="105">
        <f t="shared" si="104"/>
        <v>1021000</v>
      </c>
      <c r="G780" s="114">
        <v>1</v>
      </c>
      <c r="H780" s="105">
        <f t="shared" si="103"/>
        <v>1021000</v>
      </c>
      <c r="I780" s="222">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5"/>
        <v>0</v>
      </c>
      <c r="X780" s="29">
        <f>81000+59000+700000+177161.11</f>
        <v>1017161.11</v>
      </c>
      <c r="Y780" s="29">
        <f t="shared" si="106"/>
        <v>3838.890000000014</v>
      </c>
    </row>
    <row r="781" spans="1:25" ht="37.5">
      <c r="A781" s="295"/>
      <c r="B781" s="295"/>
      <c r="C781" s="295"/>
      <c r="D781" s="284"/>
      <c r="E781" s="73" t="s">
        <v>447</v>
      </c>
      <c r="F781" s="105">
        <f>J781</f>
        <v>100000</v>
      </c>
      <c r="G781" s="114">
        <v>1</v>
      </c>
      <c r="H781" s="105">
        <f>J781</f>
        <v>100000</v>
      </c>
      <c r="I781" s="222">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9">
        <f>K781+L781+M781+N781+O781+P781+Q781+R781+S781+T781-X781</f>
        <v>100000</v>
      </c>
    </row>
    <row r="782" spans="1:25" ht="75">
      <c r="A782" s="295"/>
      <c r="B782" s="295"/>
      <c r="C782" s="295"/>
      <c r="D782" s="284"/>
      <c r="E782" s="73" t="s">
        <v>1050</v>
      </c>
      <c r="F782" s="105"/>
      <c r="G782" s="114"/>
      <c r="H782" s="105"/>
      <c r="I782" s="222">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5"/>
        <v>0</v>
      </c>
      <c r="X782" s="29"/>
      <c r="Y782" s="29">
        <f t="shared" si="106"/>
        <v>82000</v>
      </c>
    </row>
    <row r="783" spans="1:25" ht="93.75">
      <c r="A783" s="295"/>
      <c r="B783" s="295"/>
      <c r="C783" s="295"/>
      <c r="D783" s="284"/>
      <c r="E783" s="73" t="s">
        <v>964</v>
      </c>
      <c r="F783" s="105">
        <f t="shared" si="104"/>
        <v>294000</v>
      </c>
      <c r="G783" s="114"/>
      <c r="H783" s="105">
        <f t="shared" si="103"/>
        <v>294000</v>
      </c>
      <c r="I783" s="222">
        <v>3132</v>
      </c>
      <c r="J783" s="54">
        <v>294000</v>
      </c>
      <c r="K783" s="182"/>
      <c r="L783" s="182"/>
      <c r="M783" s="182"/>
      <c r="N783" s="182"/>
      <c r="O783" s="182"/>
      <c r="P783" s="182"/>
      <c r="Q783" s="182"/>
      <c r="R783" s="182">
        <v>30000</v>
      </c>
      <c r="S783" s="182"/>
      <c r="T783" s="182">
        <v>264000</v>
      </c>
      <c r="U783" s="182"/>
      <c r="V783" s="182"/>
      <c r="W783" s="29">
        <f t="shared" si="105"/>
        <v>0</v>
      </c>
      <c r="X783" s="29"/>
      <c r="Y783" s="29">
        <f t="shared" si="106"/>
        <v>294000</v>
      </c>
    </row>
    <row r="784" spans="1:25" ht="42" customHeight="1">
      <c r="A784" s="295"/>
      <c r="B784" s="295"/>
      <c r="C784" s="295"/>
      <c r="D784" s="284"/>
      <c r="E784" s="73" t="s">
        <v>714</v>
      </c>
      <c r="F784" s="105">
        <f t="shared" si="104"/>
        <v>14747568</v>
      </c>
      <c r="G784" s="114">
        <v>1</v>
      </c>
      <c r="H784" s="105">
        <f t="shared" si="103"/>
        <v>14747568</v>
      </c>
      <c r="I784" s="222">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5"/>
        <v>0</v>
      </c>
      <c r="X784" s="29">
        <f>159000+364000+191373.72+137000+127000+2799619.35+230144.75+309727.82+3000000+582880.42+700000+1035000+25000+31000+46837+935250.2</f>
        <v>10673833.26</v>
      </c>
      <c r="Y784" s="29">
        <f t="shared" si="106"/>
        <v>830093.6600000001</v>
      </c>
    </row>
    <row r="785" spans="1:25" ht="37.5">
      <c r="A785" s="295"/>
      <c r="B785" s="295"/>
      <c r="C785" s="295"/>
      <c r="D785" s="284"/>
      <c r="E785" s="73" t="s">
        <v>137</v>
      </c>
      <c r="F785" s="105">
        <f t="shared" si="104"/>
        <v>4013246.8</v>
      </c>
      <c r="G785" s="114">
        <v>1</v>
      </c>
      <c r="H785" s="105">
        <f t="shared" si="103"/>
        <v>4013246.8</v>
      </c>
      <c r="I785" s="222">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5"/>
        <v>-1.7462298274040222E-10</v>
      </c>
      <c r="X785" s="29">
        <f>178841+107000+461139+64000+76646.85+89000+1400000-251377+120837.08+251377+3138.13+398941.05</f>
        <v>2899543.11</v>
      </c>
      <c r="Y785" s="29">
        <f t="shared" si="106"/>
        <v>1113703.69</v>
      </c>
    </row>
    <row r="786" spans="1:25" ht="56.25">
      <c r="A786" s="295"/>
      <c r="B786" s="295"/>
      <c r="C786" s="295"/>
      <c r="D786" s="284"/>
      <c r="E786" s="73" t="s">
        <v>1052</v>
      </c>
      <c r="F786" s="105"/>
      <c r="G786" s="114"/>
      <c r="H786" s="105"/>
      <c r="I786" s="222">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9">
        <f t="shared" si="106"/>
        <v>0</v>
      </c>
    </row>
    <row r="787" spans="1:25" ht="42" customHeight="1">
      <c r="A787" s="295"/>
      <c r="B787" s="295"/>
      <c r="C787" s="295"/>
      <c r="D787" s="284"/>
      <c r="E787" s="73" t="s">
        <v>337</v>
      </c>
      <c r="F787" s="105">
        <f t="shared" si="104"/>
        <v>33000</v>
      </c>
      <c r="G787" s="114">
        <v>1</v>
      </c>
      <c r="H787" s="105">
        <f t="shared" si="103"/>
        <v>33000</v>
      </c>
      <c r="I787" s="222">
        <v>3142</v>
      </c>
      <c r="J787" s="54">
        <v>33000</v>
      </c>
      <c r="K787" s="182"/>
      <c r="L787" s="182"/>
      <c r="M787" s="182">
        <v>33000</v>
      </c>
      <c r="N787" s="182"/>
      <c r="O787" s="182"/>
      <c r="P787" s="182"/>
      <c r="Q787" s="182"/>
      <c r="R787" s="182"/>
      <c r="S787" s="182"/>
      <c r="T787" s="182"/>
      <c r="U787" s="182"/>
      <c r="V787" s="182"/>
      <c r="W787" s="29">
        <f t="shared" si="105"/>
        <v>0</v>
      </c>
      <c r="X787" s="29"/>
      <c r="Y787" s="29">
        <f t="shared" si="106"/>
        <v>33000</v>
      </c>
    </row>
    <row r="788" spans="1:25" ht="75">
      <c r="A788" s="295"/>
      <c r="B788" s="295"/>
      <c r="C788" s="295"/>
      <c r="D788" s="284"/>
      <c r="E788" s="73" t="s">
        <v>129</v>
      </c>
      <c r="F788" s="105">
        <f t="shared" si="104"/>
        <v>117000</v>
      </c>
      <c r="G788" s="114"/>
      <c r="H788" s="105">
        <f t="shared" si="103"/>
        <v>117000</v>
      </c>
      <c r="I788" s="222">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9">
        <f t="shared" si="106"/>
        <v>109000</v>
      </c>
    </row>
    <row r="789" spans="1:25" ht="56.25">
      <c r="A789" s="295"/>
      <c r="B789" s="295"/>
      <c r="C789" s="295"/>
      <c r="D789" s="284"/>
      <c r="E789" s="73" t="s">
        <v>130</v>
      </c>
      <c r="F789" s="105">
        <f t="shared" si="104"/>
        <v>116000</v>
      </c>
      <c r="G789" s="114"/>
      <c r="H789" s="105">
        <f t="shared" si="103"/>
        <v>116000</v>
      </c>
      <c r="I789" s="222">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9">
        <f t="shared" si="106"/>
        <v>106000</v>
      </c>
    </row>
    <row r="790" spans="1:25" ht="60" customHeight="1">
      <c r="A790" s="295"/>
      <c r="B790" s="295"/>
      <c r="C790" s="295"/>
      <c r="D790" s="284"/>
      <c r="E790" s="73" t="s">
        <v>865</v>
      </c>
      <c r="F790" s="105">
        <f t="shared" si="104"/>
        <v>116000</v>
      </c>
      <c r="G790" s="114">
        <v>1</v>
      </c>
      <c r="H790" s="105">
        <f t="shared" si="103"/>
        <v>116000</v>
      </c>
      <c r="I790" s="222">
        <v>3142</v>
      </c>
      <c r="J790" s="54">
        <v>116000</v>
      </c>
      <c r="K790" s="182"/>
      <c r="L790" s="182"/>
      <c r="M790" s="182"/>
      <c r="N790" s="182"/>
      <c r="O790" s="182"/>
      <c r="P790" s="182"/>
      <c r="Q790" s="182"/>
      <c r="R790" s="182"/>
      <c r="S790" s="182">
        <v>116000</v>
      </c>
      <c r="T790" s="182"/>
      <c r="U790" s="182"/>
      <c r="V790" s="182"/>
      <c r="W790" s="29">
        <f t="shared" si="105"/>
        <v>0</v>
      </c>
      <c r="X790" s="29"/>
      <c r="Y790" s="29">
        <f t="shared" si="106"/>
        <v>116000</v>
      </c>
    </row>
    <row r="791" spans="1:25" ht="36" hidden="1">
      <c r="A791" s="295"/>
      <c r="B791" s="295"/>
      <c r="C791" s="295"/>
      <c r="D791" s="284"/>
      <c r="E791" s="73" t="s">
        <v>505</v>
      </c>
      <c r="F791" s="105">
        <f>J791</f>
        <v>0</v>
      </c>
      <c r="G791" s="114">
        <v>1</v>
      </c>
      <c r="H791" s="105">
        <f>J791</f>
        <v>0</v>
      </c>
      <c r="I791" s="222">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5"/>
        <v>0</v>
      </c>
      <c r="X791" s="29"/>
      <c r="Y791" s="29">
        <f t="shared" si="106"/>
        <v>0</v>
      </c>
    </row>
    <row r="792" spans="1:25" ht="56.25">
      <c r="A792" s="295"/>
      <c r="B792" s="295"/>
      <c r="C792" s="295"/>
      <c r="D792" s="284"/>
      <c r="E792" s="73" t="s">
        <v>1205</v>
      </c>
      <c r="F792" s="105"/>
      <c r="G792" s="114"/>
      <c r="H792" s="105"/>
      <c r="I792" s="222">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9">
        <f t="shared" si="106"/>
        <v>76028.93</v>
      </c>
    </row>
    <row r="793" spans="1:25" ht="56.25">
      <c r="A793" s="295"/>
      <c r="B793" s="295"/>
      <c r="C793" s="295"/>
      <c r="D793" s="284"/>
      <c r="E793" s="73" t="s">
        <v>41</v>
      </c>
      <c r="F793" s="105">
        <f>J793</f>
        <v>1540000</v>
      </c>
      <c r="G793" s="114">
        <v>1</v>
      </c>
      <c r="H793" s="105">
        <f>J793</f>
        <v>1540000</v>
      </c>
      <c r="I793" s="222">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c r="V793" s="182">
        <v>400000</v>
      </c>
      <c r="W793" s="29">
        <f>J793-K793-L793-M793-N793-O793-P793-Q793-R793-S793-T793-U793-V793</f>
        <v>0</v>
      </c>
      <c r="X793" s="29">
        <f>62229.22+950000</f>
        <v>1012229.22</v>
      </c>
      <c r="Y793" s="29">
        <f t="shared" si="106"/>
        <v>127770.78000000003</v>
      </c>
    </row>
    <row r="794" spans="1:25" ht="75">
      <c r="A794" s="295"/>
      <c r="B794" s="295"/>
      <c r="C794" s="295"/>
      <c r="D794" s="284"/>
      <c r="E794" s="73" t="s">
        <v>540</v>
      </c>
      <c r="F794" s="105"/>
      <c r="G794" s="114"/>
      <c r="H794" s="105"/>
      <c r="I794" s="222">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9">
        <f t="shared" si="106"/>
        <v>0</v>
      </c>
    </row>
    <row r="795" spans="1:25" ht="56.25">
      <c r="A795" s="295"/>
      <c r="B795" s="295"/>
      <c r="C795" s="295"/>
      <c r="D795" s="284"/>
      <c r="E795" s="73" t="s">
        <v>1041</v>
      </c>
      <c r="F795" s="105"/>
      <c r="G795" s="114"/>
      <c r="H795" s="105"/>
      <c r="I795" s="222">
        <v>3142</v>
      </c>
      <c r="J795" s="54">
        <v>950000</v>
      </c>
      <c r="K795" s="182"/>
      <c r="L795" s="182"/>
      <c r="M795" s="182"/>
      <c r="N795" s="182"/>
      <c r="O795" s="182"/>
      <c r="P795" s="182"/>
      <c r="Q795" s="182"/>
      <c r="R795" s="182"/>
      <c r="S795" s="182">
        <v>50000</v>
      </c>
      <c r="T795" s="182">
        <v>500000</v>
      </c>
      <c r="U795" s="182">
        <v>400000</v>
      </c>
      <c r="V795" s="182"/>
      <c r="W795" s="29">
        <f>J795-K795-L795-M795-N795-O795-P795-Q795-R795-S795-T795-U795-V795</f>
        <v>0</v>
      </c>
      <c r="X795" s="29"/>
      <c r="Y795" s="29">
        <f t="shared" si="106"/>
        <v>550000</v>
      </c>
    </row>
    <row r="796" spans="1:25" ht="18.75">
      <c r="A796" s="295"/>
      <c r="B796" s="295"/>
      <c r="C796" s="295"/>
      <c r="D796" s="284"/>
      <c r="E796" s="73" t="s">
        <v>338</v>
      </c>
      <c r="F796" s="105">
        <f t="shared" si="104"/>
        <v>474101</v>
      </c>
      <c r="G796" s="114">
        <v>1</v>
      </c>
      <c r="H796" s="105">
        <f t="shared" si="103"/>
        <v>474101</v>
      </c>
      <c r="I796" s="222">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5"/>
        <v>0</v>
      </c>
      <c r="X796" s="29">
        <f>283637+170080</f>
        <v>453717</v>
      </c>
      <c r="Y796" s="29">
        <f t="shared" si="106"/>
        <v>0</v>
      </c>
    </row>
    <row r="797" spans="1:25" ht="37.5">
      <c r="A797" s="295"/>
      <c r="B797" s="295"/>
      <c r="C797" s="295"/>
      <c r="D797" s="284"/>
      <c r="E797" s="73" t="s">
        <v>1051</v>
      </c>
      <c r="F797" s="105"/>
      <c r="G797" s="114"/>
      <c r="H797" s="105"/>
      <c r="I797" s="222">
        <v>3142</v>
      </c>
      <c r="J797" s="54">
        <v>150000</v>
      </c>
      <c r="K797" s="182"/>
      <c r="L797" s="182"/>
      <c r="M797" s="182"/>
      <c r="N797" s="182"/>
      <c r="O797" s="182"/>
      <c r="P797" s="182"/>
      <c r="Q797" s="182">
        <v>50000</v>
      </c>
      <c r="R797" s="182"/>
      <c r="S797" s="182">
        <f>100000-47000</f>
        <v>53000</v>
      </c>
      <c r="T797" s="182"/>
      <c r="U797" s="182">
        <f>47000</f>
        <v>47000</v>
      </c>
      <c r="V797" s="182"/>
      <c r="W797" s="29">
        <f t="shared" si="105"/>
        <v>0</v>
      </c>
      <c r="X797" s="29">
        <f>103000</f>
        <v>103000</v>
      </c>
      <c r="Y797" s="29">
        <f t="shared" si="106"/>
        <v>0</v>
      </c>
    </row>
    <row r="798" spans="1:25" ht="56.25">
      <c r="A798" s="295"/>
      <c r="B798" s="295"/>
      <c r="C798" s="295"/>
      <c r="D798" s="284"/>
      <c r="E798" s="73" t="s">
        <v>339</v>
      </c>
      <c r="F798" s="105">
        <f t="shared" si="104"/>
        <v>72500</v>
      </c>
      <c r="G798" s="114">
        <v>1</v>
      </c>
      <c r="H798" s="105">
        <f t="shared" si="103"/>
        <v>72500</v>
      </c>
      <c r="I798" s="222">
        <v>3142</v>
      </c>
      <c r="J798" s="54">
        <v>72500</v>
      </c>
      <c r="K798" s="182"/>
      <c r="L798" s="182"/>
      <c r="M798" s="182">
        <v>72500</v>
      </c>
      <c r="N798" s="182"/>
      <c r="O798" s="182"/>
      <c r="P798" s="182"/>
      <c r="Q798" s="182"/>
      <c r="R798" s="182"/>
      <c r="S798" s="182">
        <f>-72500</f>
        <v>-72500</v>
      </c>
      <c r="T798" s="182"/>
      <c r="U798" s="182">
        <f>72500</f>
        <v>72500</v>
      </c>
      <c r="V798" s="182"/>
      <c r="W798" s="29">
        <f t="shared" si="105"/>
        <v>0</v>
      </c>
      <c r="X798" s="29"/>
      <c r="Y798" s="29">
        <f t="shared" si="106"/>
        <v>0</v>
      </c>
    </row>
    <row r="799" spans="1:25" ht="60" customHeight="1">
      <c r="A799" s="295"/>
      <c r="B799" s="296"/>
      <c r="C799" s="295"/>
      <c r="D799" s="284"/>
      <c r="E799" s="73" t="s">
        <v>506</v>
      </c>
      <c r="F799" s="105">
        <f t="shared" si="104"/>
        <v>714000</v>
      </c>
      <c r="G799" s="114">
        <v>1</v>
      </c>
      <c r="H799" s="105">
        <f t="shared" si="103"/>
        <v>714000</v>
      </c>
      <c r="I799" s="222">
        <v>3122</v>
      </c>
      <c r="J799" s="54">
        <f>357000+357000</f>
        <v>714000</v>
      </c>
      <c r="K799" s="182"/>
      <c r="L799" s="182"/>
      <c r="M799" s="182"/>
      <c r="N799" s="182">
        <v>35700</v>
      </c>
      <c r="O799" s="182"/>
      <c r="P799" s="182">
        <f>678300-350000</f>
        <v>328300</v>
      </c>
      <c r="Q799" s="182"/>
      <c r="R799" s="182"/>
      <c r="S799" s="182">
        <f>357000-357000</f>
        <v>0</v>
      </c>
      <c r="T799" s="182">
        <f>249900-249900</f>
        <v>0</v>
      </c>
      <c r="U799" s="182"/>
      <c r="V799" s="182">
        <f>71400-71400+350000</f>
        <v>350000</v>
      </c>
      <c r="W799" s="29">
        <f t="shared" si="105"/>
        <v>0</v>
      </c>
      <c r="X799" s="29">
        <f>77000</f>
        <v>77000</v>
      </c>
      <c r="Y799" s="29">
        <f t="shared" si="106"/>
        <v>287000</v>
      </c>
    </row>
    <row r="800" spans="1:25" ht="18.75">
      <c r="A800" s="306" t="s">
        <v>1129</v>
      </c>
      <c r="B800" s="291" t="s">
        <v>176</v>
      </c>
      <c r="C800" s="306" t="s">
        <v>222</v>
      </c>
      <c r="D800" s="297" t="s">
        <v>1130</v>
      </c>
      <c r="E800" s="73"/>
      <c r="F800" s="73"/>
      <c r="G800" s="73"/>
      <c r="H800" s="73"/>
      <c r="I800" s="260"/>
      <c r="J800" s="60">
        <f aca="true" t="shared" si="107" ref="J800:X800">J901+J958+J985+J910+J804+J807+J941+J801+J962+J845+J966</f>
        <v>74213944.48</v>
      </c>
      <c r="K800" s="60">
        <f t="shared" si="107"/>
        <v>0</v>
      </c>
      <c r="L800" s="60">
        <f t="shared" si="107"/>
        <v>1519997</v>
      </c>
      <c r="M800" s="60">
        <f t="shared" si="107"/>
        <v>12045001</v>
      </c>
      <c r="N800" s="60">
        <f t="shared" si="107"/>
        <v>11622816</v>
      </c>
      <c r="O800" s="60">
        <f t="shared" si="107"/>
        <v>-4134889</v>
      </c>
      <c r="P800" s="60">
        <f t="shared" si="107"/>
        <v>5891870</v>
      </c>
      <c r="Q800" s="60">
        <f t="shared" si="107"/>
        <v>8583680</v>
      </c>
      <c r="R800" s="60">
        <f t="shared" si="107"/>
        <v>7780722.89</v>
      </c>
      <c r="S800" s="60">
        <f t="shared" si="107"/>
        <v>7213524.760000001</v>
      </c>
      <c r="T800" s="60">
        <f t="shared" si="107"/>
        <v>8772523.92</v>
      </c>
      <c r="U800" s="60">
        <f t="shared" si="107"/>
        <v>6093386.92</v>
      </c>
      <c r="V800" s="60">
        <f t="shared" si="107"/>
        <v>8825310.99</v>
      </c>
      <c r="W800" s="60">
        <f t="shared" si="107"/>
        <v>2.2646418074145913E-10</v>
      </c>
      <c r="X800" s="60">
        <f t="shared" si="107"/>
        <v>45579760.83</v>
      </c>
      <c r="Y800" s="29">
        <f t="shared" si="106"/>
        <v>13715485.740000002</v>
      </c>
    </row>
    <row r="801" spans="1:25" ht="42" customHeight="1">
      <c r="A801" s="306"/>
      <c r="B801" s="293"/>
      <c r="C801" s="306"/>
      <c r="D801" s="297"/>
      <c r="E801" s="75" t="s">
        <v>536</v>
      </c>
      <c r="F801" s="75"/>
      <c r="G801" s="75"/>
      <c r="H801" s="75"/>
      <c r="I801" s="262"/>
      <c r="J801" s="76">
        <f>SUM(J802:J803)</f>
        <v>5500000</v>
      </c>
      <c r="K801" s="76">
        <f aca="true" t="shared" si="108" ref="K801:V801">SUM(K802:K803)</f>
        <v>0</v>
      </c>
      <c r="L801" s="76">
        <f t="shared" si="108"/>
        <v>0</v>
      </c>
      <c r="M801" s="76">
        <f t="shared" si="108"/>
        <v>200000</v>
      </c>
      <c r="N801" s="76">
        <f t="shared" si="108"/>
        <v>2963100</v>
      </c>
      <c r="O801" s="76">
        <f t="shared" si="108"/>
        <v>-2850411.03</v>
      </c>
      <c r="P801" s="76">
        <f t="shared" si="108"/>
        <v>180000</v>
      </c>
      <c r="Q801" s="76">
        <f t="shared" si="108"/>
        <v>237669.03000000003</v>
      </c>
      <c r="R801" s="76">
        <f t="shared" si="108"/>
        <v>0</v>
      </c>
      <c r="S801" s="76">
        <f t="shared" si="108"/>
        <v>-396359.35</v>
      </c>
      <c r="T801" s="76">
        <f t="shared" si="108"/>
        <v>3128979.35</v>
      </c>
      <c r="U801" s="76">
        <f t="shared" si="108"/>
        <v>232280</v>
      </c>
      <c r="V801" s="76">
        <f t="shared" si="108"/>
        <v>1804742</v>
      </c>
      <c r="W801" s="76">
        <f>SUM(W802:W803)</f>
        <v>0</v>
      </c>
      <c r="X801" s="76">
        <f>SUM(X802:X803)</f>
        <v>2501332.3200000003</v>
      </c>
      <c r="Y801" s="29">
        <f t="shared" si="106"/>
        <v>961645.6800000002</v>
      </c>
    </row>
    <row r="802" spans="1:25" ht="75">
      <c r="A802" s="306"/>
      <c r="B802" s="293"/>
      <c r="C802" s="306"/>
      <c r="D802" s="297"/>
      <c r="E802" s="73" t="s">
        <v>723</v>
      </c>
      <c r="F802" s="73"/>
      <c r="G802" s="73"/>
      <c r="H802" s="73"/>
      <c r="I802" s="260">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v>232280</v>
      </c>
      <c r="V802" s="182">
        <f>409462+1395280</f>
        <v>1804742</v>
      </c>
      <c r="W802" s="29">
        <f t="shared" si="105"/>
        <v>0</v>
      </c>
      <c r="X802" s="29">
        <f>289923.6+1324425.12+886983.6</f>
        <v>2501332.3200000003</v>
      </c>
      <c r="Y802" s="29">
        <f t="shared" si="106"/>
        <v>961645.6800000002</v>
      </c>
    </row>
    <row r="803" spans="1:25" ht="63" customHeight="1" hidden="1">
      <c r="A803" s="306"/>
      <c r="B803" s="293"/>
      <c r="C803" s="306"/>
      <c r="D803" s="297"/>
      <c r="E803" s="73" t="s">
        <v>1217</v>
      </c>
      <c r="F803" s="73"/>
      <c r="G803" s="73"/>
      <c r="H803" s="73"/>
      <c r="I803" s="260">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5"/>
        <v>0</v>
      </c>
      <c r="X803" s="29"/>
      <c r="Y803" s="29">
        <f t="shared" si="106"/>
        <v>0</v>
      </c>
    </row>
    <row r="804" spans="1:25" ht="37.5" customHeight="1" hidden="1">
      <c r="A804" s="306"/>
      <c r="B804" s="293"/>
      <c r="C804" s="306"/>
      <c r="D804" s="297"/>
      <c r="E804" s="75" t="s">
        <v>192</v>
      </c>
      <c r="F804" s="75"/>
      <c r="G804" s="75"/>
      <c r="H804" s="75"/>
      <c r="I804" s="262"/>
      <c r="J804" s="60">
        <f>SUM(J805:J806)</f>
        <v>0</v>
      </c>
      <c r="K804" s="29"/>
      <c r="L804" s="29"/>
      <c r="M804" s="29"/>
      <c r="N804" s="29"/>
      <c r="O804" s="29"/>
      <c r="P804" s="29"/>
      <c r="Q804" s="29"/>
      <c r="R804" s="29"/>
      <c r="S804" s="29"/>
      <c r="T804" s="29"/>
      <c r="U804" s="29"/>
      <c r="V804" s="29"/>
      <c r="W804" s="29">
        <f t="shared" si="105"/>
        <v>0</v>
      </c>
      <c r="X804" s="29"/>
      <c r="Y804" s="29">
        <f t="shared" si="106"/>
        <v>0</v>
      </c>
    </row>
    <row r="805" spans="1:25" ht="18.75" customHeight="1" hidden="1">
      <c r="A805" s="306"/>
      <c r="B805" s="293"/>
      <c r="C805" s="306"/>
      <c r="D805" s="297"/>
      <c r="E805" s="28"/>
      <c r="F805" s="28"/>
      <c r="G805" s="28"/>
      <c r="H805" s="28"/>
      <c r="I805" s="225"/>
      <c r="J805" s="47"/>
      <c r="K805" s="29"/>
      <c r="L805" s="29"/>
      <c r="M805" s="29"/>
      <c r="N805" s="29"/>
      <c r="O805" s="29"/>
      <c r="P805" s="29"/>
      <c r="Q805" s="29"/>
      <c r="R805" s="29"/>
      <c r="S805" s="29"/>
      <c r="T805" s="29"/>
      <c r="U805" s="29"/>
      <c r="V805" s="29"/>
      <c r="W805" s="29">
        <f t="shared" si="105"/>
        <v>0</v>
      </c>
      <c r="X805" s="29"/>
      <c r="Y805" s="29">
        <f t="shared" si="106"/>
        <v>0</v>
      </c>
    </row>
    <row r="806" spans="1:25" ht="18.75" customHeight="1" hidden="1">
      <c r="A806" s="306"/>
      <c r="B806" s="293"/>
      <c r="C806" s="306"/>
      <c r="D806" s="297"/>
      <c r="E806" s="77"/>
      <c r="F806" s="77"/>
      <c r="G806" s="77"/>
      <c r="H806" s="77"/>
      <c r="I806" s="225"/>
      <c r="J806" s="47"/>
      <c r="K806" s="29"/>
      <c r="L806" s="29"/>
      <c r="M806" s="29"/>
      <c r="N806" s="29"/>
      <c r="O806" s="29"/>
      <c r="P806" s="29"/>
      <c r="Q806" s="29"/>
      <c r="R806" s="29"/>
      <c r="S806" s="29"/>
      <c r="T806" s="29"/>
      <c r="U806" s="29"/>
      <c r="V806" s="29"/>
      <c r="W806" s="29">
        <f t="shared" si="105"/>
        <v>0</v>
      </c>
      <c r="X806" s="29"/>
      <c r="Y806" s="29">
        <f t="shared" si="106"/>
        <v>0</v>
      </c>
    </row>
    <row r="807" spans="1:25" ht="56.25">
      <c r="A807" s="306"/>
      <c r="B807" s="293"/>
      <c r="C807" s="306"/>
      <c r="D807" s="297"/>
      <c r="E807" s="78" t="s">
        <v>263</v>
      </c>
      <c r="F807" s="78"/>
      <c r="G807" s="78"/>
      <c r="H807" s="78"/>
      <c r="I807" s="263"/>
      <c r="J807" s="79">
        <f>SUM(J808:J844)</f>
        <v>3711812</v>
      </c>
      <c r="K807" s="79">
        <f aca="true" t="shared" si="109" ref="K807:X807">SUM(K808:K844)</f>
        <v>0</v>
      </c>
      <c r="L807" s="79">
        <f t="shared" si="109"/>
        <v>49997</v>
      </c>
      <c r="M807" s="79">
        <f t="shared" si="109"/>
        <v>140480</v>
      </c>
      <c r="N807" s="79">
        <f t="shared" si="109"/>
        <v>749764</v>
      </c>
      <c r="O807" s="79">
        <f t="shared" si="109"/>
        <v>-820244</v>
      </c>
      <c r="P807" s="79">
        <f t="shared" si="109"/>
        <v>0</v>
      </c>
      <c r="Q807" s="79">
        <f t="shared" si="109"/>
        <v>821310</v>
      </c>
      <c r="R807" s="79">
        <f t="shared" si="109"/>
        <v>1056241</v>
      </c>
      <c r="S807" s="79">
        <f t="shared" si="109"/>
        <v>382950</v>
      </c>
      <c r="T807" s="79">
        <f t="shared" si="109"/>
        <v>-328108.92000000004</v>
      </c>
      <c r="U807" s="79">
        <f t="shared" si="109"/>
        <v>799422.92</v>
      </c>
      <c r="V807" s="79">
        <f t="shared" si="109"/>
        <v>860000</v>
      </c>
      <c r="W807" s="79">
        <f t="shared" si="109"/>
        <v>0</v>
      </c>
      <c r="X807" s="79">
        <f t="shared" si="109"/>
        <v>777215.5299999999</v>
      </c>
      <c r="Y807" s="29">
        <f t="shared" si="106"/>
        <v>1275173.5500000003</v>
      </c>
    </row>
    <row r="808" spans="1:25" ht="176.25" customHeight="1">
      <c r="A808" s="306"/>
      <c r="B808" s="293"/>
      <c r="C808" s="306"/>
      <c r="D808" s="297"/>
      <c r="E808" s="190" t="s">
        <v>226</v>
      </c>
      <c r="F808" s="190"/>
      <c r="G808" s="190"/>
      <c r="H808" s="190"/>
      <c r="I808" s="264">
        <v>3210</v>
      </c>
      <c r="J808" s="207">
        <v>49997</v>
      </c>
      <c r="K808" s="193"/>
      <c r="L808" s="193">
        <v>49997</v>
      </c>
      <c r="M808" s="193"/>
      <c r="N808" s="193"/>
      <c r="O808" s="193"/>
      <c r="P808" s="193"/>
      <c r="Q808" s="193"/>
      <c r="R808" s="193"/>
      <c r="S808" s="193"/>
      <c r="T808" s="193"/>
      <c r="U808" s="193"/>
      <c r="V808" s="193"/>
      <c r="W808" s="29">
        <f t="shared" si="105"/>
        <v>0</v>
      </c>
      <c r="X808" s="29"/>
      <c r="Y808" s="29">
        <f t="shared" si="106"/>
        <v>49997</v>
      </c>
    </row>
    <row r="809" spans="1:25" ht="93.75">
      <c r="A809" s="306"/>
      <c r="B809" s="293"/>
      <c r="C809" s="306"/>
      <c r="D809" s="297"/>
      <c r="E809" s="80" t="s">
        <v>366</v>
      </c>
      <c r="F809" s="80"/>
      <c r="G809" s="80"/>
      <c r="H809" s="80"/>
      <c r="I809" s="261">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9">
        <f t="shared" si="106"/>
        <v>0</v>
      </c>
    </row>
    <row r="810" spans="1:25" ht="112.5">
      <c r="A810" s="306"/>
      <c r="B810" s="293"/>
      <c r="C810" s="306"/>
      <c r="D810" s="297"/>
      <c r="E810" s="80" t="s">
        <v>584</v>
      </c>
      <c r="F810" s="80"/>
      <c r="G810" s="80"/>
      <c r="H810" s="80"/>
      <c r="I810" s="261">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9">
        <f t="shared" si="106"/>
        <v>14427</v>
      </c>
    </row>
    <row r="811" spans="1:25" ht="56.25" customHeight="1">
      <c r="A811" s="306"/>
      <c r="B811" s="293"/>
      <c r="C811" s="306"/>
      <c r="D811" s="297"/>
      <c r="E811" s="80" t="s">
        <v>696</v>
      </c>
      <c r="F811" s="80"/>
      <c r="G811" s="80"/>
      <c r="H811" s="80"/>
      <c r="I811" s="261">
        <v>3210</v>
      </c>
      <c r="J811" s="47">
        <v>50000</v>
      </c>
      <c r="K811" s="182"/>
      <c r="L811" s="182"/>
      <c r="M811" s="182"/>
      <c r="N811" s="182"/>
      <c r="O811" s="182"/>
      <c r="P811" s="182"/>
      <c r="Q811" s="182"/>
      <c r="R811" s="182">
        <v>50000</v>
      </c>
      <c r="S811" s="182"/>
      <c r="T811" s="182"/>
      <c r="U811" s="182"/>
      <c r="V811" s="182"/>
      <c r="W811" s="29">
        <f t="shared" si="105"/>
        <v>0</v>
      </c>
      <c r="X811" s="29"/>
      <c r="Y811" s="29">
        <f t="shared" si="106"/>
        <v>50000</v>
      </c>
    </row>
    <row r="812" spans="1:25" ht="56.25">
      <c r="A812" s="306"/>
      <c r="B812" s="293"/>
      <c r="C812" s="306"/>
      <c r="D812" s="297"/>
      <c r="E812" s="80" t="s">
        <v>607</v>
      </c>
      <c r="F812" s="80"/>
      <c r="G812" s="80"/>
      <c r="H812" s="80"/>
      <c r="I812" s="261">
        <v>3210</v>
      </c>
      <c r="J812" s="47">
        <v>200000</v>
      </c>
      <c r="K812" s="182"/>
      <c r="L812" s="182"/>
      <c r="M812" s="182"/>
      <c r="N812" s="182"/>
      <c r="O812" s="182"/>
      <c r="P812" s="182"/>
      <c r="Q812" s="182"/>
      <c r="R812" s="182"/>
      <c r="S812" s="182"/>
      <c r="T812" s="182">
        <v>16000</v>
      </c>
      <c r="U812" s="182">
        <v>94000</v>
      </c>
      <c r="V812" s="182">
        <v>90000</v>
      </c>
      <c r="W812" s="29">
        <f t="shared" si="105"/>
        <v>0</v>
      </c>
      <c r="X812" s="29"/>
      <c r="Y812" s="29">
        <f t="shared" si="106"/>
        <v>16000</v>
      </c>
    </row>
    <row r="813" spans="1:25" ht="36" hidden="1">
      <c r="A813" s="306"/>
      <c r="B813" s="293"/>
      <c r="C813" s="306"/>
      <c r="D813" s="297"/>
      <c r="E813" s="28" t="s">
        <v>872</v>
      </c>
      <c r="F813" s="28"/>
      <c r="G813" s="28"/>
      <c r="H813" s="28"/>
      <c r="I813" s="261">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9">
        <f t="shared" si="106"/>
        <v>0</v>
      </c>
    </row>
    <row r="814" spans="1:25" ht="56.25">
      <c r="A814" s="306"/>
      <c r="B814" s="293"/>
      <c r="C814" s="306"/>
      <c r="D814" s="297"/>
      <c r="E814" s="28" t="s">
        <v>1047</v>
      </c>
      <c r="F814" s="28"/>
      <c r="G814" s="28"/>
      <c r="H814" s="28"/>
      <c r="I814" s="261">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9">
        <f t="shared" si="106"/>
        <v>26680</v>
      </c>
    </row>
    <row r="815" spans="1:25" ht="56.25">
      <c r="A815" s="306"/>
      <c r="B815" s="293"/>
      <c r="C815" s="306"/>
      <c r="D815" s="297"/>
      <c r="E815" s="28" t="s">
        <v>552</v>
      </c>
      <c r="F815" s="28"/>
      <c r="G815" s="28"/>
      <c r="H815" s="28"/>
      <c r="I815" s="261">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9">
        <f t="shared" si="106"/>
        <v>26680</v>
      </c>
    </row>
    <row r="816" spans="1:25" ht="63" customHeight="1">
      <c r="A816" s="306"/>
      <c r="B816" s="293"/>
      <c r="C816" s="306"/>
      <c r="D816" s="297"/>
      <c r="E816" s="28" t="s">
        <v>313</v>
      </c>
      <c r="F816" s="28"/>
      <c r="G816" s="28"/>
      <c r="H816" s="28"/>
      <c r="I816" s="261">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5"/>
        <v>0</v>
      </c>
      <c r="X816" s="29"/>
      <c r="Y816" s="29">
        <f t="shared" si="106"/>
        <v>26680</v>
      </c>
    </row>
    <row r="817" spans="1:25" ht="60.75" customHeight="1">
      <c r="A817" s="306"/>
      <c r="B817" s="293"/>
      <c r="C817" s="306"/>
      <c r="D817" s="297"/>
      <c r="E817" s="28" t="s">
        <v>239</v>
      </c>
      <c r="F817" s="28"/>
      <c r="G817" s="28"/>
      <c r="H817" s="28"/>
      <c r="I817" s="261">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5"/>
        <v>0</v>
      </c>
      <c r="X817" s="29"/>
      <c r="Y817" s="29">
        <f t="shared" si="106"/>
        <v>26680</v>
      </c>
    </row>
    <row r="818" spans="1:25" ht="56.25">
      <c r="A818" s="306"/>
      <c r="B818" s="293"/>
      <c r="C818" s="306"/>
      <c r="D818" s="297"/>
      <c r="E818" s="28" t="s">
        <v>878</v>
      </c>
      <c r="F818" s="28"/>
      <c r="G818" s="28"/>
      <c r="H818" s="28"/>
      <c r="I818" s="261">
        <v>3210</v>
      </c>
      <c r="J818" s="47">
        <v>200000</v>
      </c>
      <c r="K818" s="182"/>
      <c r="L818" s="182"/>
      <c r="M818" s="182">
        <v>16000</v>
      </c>
      <c r="N818" s="182">
        <v>92000</v>
      </c>
      <c r="O818" s="182">
        <v>-108000</v>
      </c>
      <c r="P818" s="182"/>
      <c r="Q818" s="182">
        <v>92000</v>
      </c>
      <c r="R818" s="182"/>
      <c r="S818" s="182"/>
      <c r="T818" s="182"/>
      <c r="U818" s="182">
        <v>108000</v>
      </c>
      <c r="V818" s="182"/>
      <c r="W818" s="29">
        <f t="shared" si="105"/>
        <v>0</v>
      </c>
      <c r="X818" s="29">
        <f>3299.76+8315.04+57118.57</f>
        <v>68733.37</v>
      </c>
      <c r="Y818" s="29">
        <f t="shared" si="106"/>
        <v>23266.630000000005</v>
      </c>
    </row>
    <row r="819" spans="1:25" ht="56.25">
      <c r="A819" s="306"/>
      <c r="B819" s="293"/>
      <c r="C819" s="306"/>
      <c r="D819" s="297"/>
      <c r="E819" s="28" t="s">
        <v>660</v>
      </c>
      <c r="F819" s="28"/>
      <c r="G819" s="28"/>
      <c r="H819" s="28"/>
      <c r="I819" s="261">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5"/>
        <v>0</v>
      </c>
      <c r="X819" s="29"/>
      <c r="Y819" s="29">
        <f t="shared" si="106"/>
        <v>92000</v>
      </c>
    </row>
    <row r="820" spans="1:25" ht="56.25">
      <c r="A820" s="306"/>
      <c r="B820" s="293"/>
      <c r="C820" s="306"/>
      <c r="D820" s="297"/>
      <c r="E820" s="28" t="s">
        <v>853</v>
      </c>
      <c r="F820" s="28"/>
      <c r="G820" s="28"/>
      <c r="H820" s="28"/>
      <c r="I820" s="261">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5"/>
        <v>0</v>
      </c>
      <c r="X820" s="29"/>
      <c r="Y820" s="29">
        <f t="shared" si="106"/>
        <v>92000</v>
      </c>
    </row>
    <row r="821" spans="1:25" ht="75">
      <c r="A821" s="306"/>
      <c r="B821" s="293"/>
      <c r="C821" s="306"/>
      <c r="D821" s="297"/>
      <c r="E821" s="28" t="s">
        <v>1062</v>
      </c>
      <c r="F821" s="28"/>
      <c r="G821" s="28"/>
      <c r="H821" s="28"/>
      <c r="I821" s="261">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5"/>
        <v>0</v>
      </c>
      <c r="X821" s="29">
        <f>12053.8+76630.63</f>
        <v>88684.43000000001</v>
      </c>
      <c r="Y821" s="29">
        <f t="shared" si="106"/>
        <v>95.56999999999243</v>
      </c>
    </row>
    <row r="822" spans="1:25" ht="54" hidden="1">
      <c r="A822" s="306"/>
      <c r="B822" s="293"/>
      <c r="C822" s="306"/>
      <c r="D822" s="297"/>
      <c r="E822" s="28" t="s">
        <v>1063</v>
      </c>
      <c r="F822" s="28"/>
      <c r="G822" s="28"/>
      <c r="H822" s="28"/>
      <c r="I822" s="261">
        <v>3210</v>
      </c>
      <c r="J822" s="47">
        <f>194000-194000</f>
        <v>0</v>
      </c>
      <c r="K822" s="182"/>
      <c r="L822" s="182"/>
      <c r="M822" s="182">
        <v>15520</v>
      </c>
      <c r="N822" s="182">
        <f>89240-104760</f>
        <v>-15520</v>
      </c>
      <c r="O822" s="182"/>
      <c r="P822" s="182"/>
      <c r="Q822" s="182">
        <f>89240-89240</f>
        <v>0</v>
      </c>
      <c r="R822" s="182"/>
      <c r="S822" s="182"/>
      <c r="T822" s="182"/>
      <c r="U822" s="182"/>
      <c r="V822" s="182"/>
      <c r="W822" s="29">
        <f t="shared" si="105"/>
        <v>0</v>
      </c>
      <c r="X822" s="29"/>
      <c r="Y822" s="29">
        <f t="shared" si="106"/>
        <v>0</v>
      </c>
    </row>
    <row r="823" spans="1:25" ht="56.25">
      <c r="A823" s="306"/>
      <c r="B823" s="293"/>
      <c r="C823" s="306"/>
      <c r="D823" s="297"/>
      <c r="E823" s="28" t="s">
        <v>50</v>
      </c>
      <c r="F823" s="28"/>
      <c r="G823" s="28"/>
      <c r="H823" s="28"/>
      <c r="I823" s="261">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5"/>
        <v>0</v>
      </c>
      <c r="X823" s="29">
        <f>8381.2+33162.11</f>
        <v>41543.31</v>
      </c>
      <c r="Y823" s="29">
        <f t="shared" si="106"/>
        <v>14871.050000000003</v>
      </c>
    </row>
    <row r="824" spans="1:25" ht="56.25">
      <c r="A824" s="306"/>
      <c r="B824" s="293"/>
      <c r="C824" s="306"/>
      <c r="D824" s="297"/>
      <c r="E824" s="28" t="s">
        <v>51</v>
      </c>
      <c r="F824" s="28"/>
      <c r="G824" s="28"/>
      <c r="H824" s="28"/>
      <c r="I824" s="261">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5"/>
        <v>0</v>
      </c>
      <c r="X824" s="29">
        <f>8711.2+33001.4</f>
        <v>41712.600000000006</v>
      </c>
      <c r="Y824" s="29">
        <f t="shared" si="106"/>
        <v>14800.759999999995</v>
      </c>
    </row>
    <row r="825" spans="1:25" ht="56.25">
      <c r="A825" s="306"/>
      <c r="B825" s="293"/>
      <c r="C825" s="306"/>
      <c r="D825" s="297"/>
      <c r="E825" s="28" t="s">
        <v>168</v>
      </c>
      <c r="F825" s="28"/>
      <c r="G825" s="28"/>
      <c r="H825" s="28"/>
      <c r="I825" s="261">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5"/>
        <v>0</v>
      </c>
      <c r="X825" s="29">
        <f>8711.2+33494.14</f>
        <v>42205.34</v>
      </c>
      <c r="Y825" s="29">
        <f aca="true" t="shared" si="110" ref="Y825:Y892">K825+L825+M825+N825+O825+P825+Q825+R825+S825+T825-X825</f>
        <v>15008.020000000004</v>
      </c>
    </row>
    <row r="826" spans="1:25" ht="56.25">
      <c r="A826" s="306"/>
      <c r="B826" s="293"/>
      <c r="C826" s="306"/>
      <c r="D826" s="297"/>
      <c r="E826" s="28" t="s">
        <v>541</v>
      </c>
      <c r="F826" s="28"/>
      <c r="G826" s="28"/>
      <c r="H826" s="28"/>
      <c r="I826" s="261">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9">
        <f t="shared" si="110"/>
        <v>0</v>
      </c>
    </row>
    <row r="827" spans="1:25" ht="65.25" customHeight="1" hidden="1">
      <c r="A827" s="306"/>
      <c r="B827" s="293"/>
      <c r="C827" s="306"/>
      <c r="D827" s="297"/>
      <c r="E827" s="28" t="s">
        <v>169</v>
      </c>
      <c r="F827" s="28"/>
      <c r="G827" s="28"/>
      <c r="H827" s="28"/>
      <c r="I827" s="261">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5"/>
        <v>0</v>
      </c>
      <c r="X827" s="29"/>
      <c r="Y827" s="29">
        <f t="shared" si="110"/>
        <v>0</v>
      </c>
    </row>
    <row r="828" spans="1:25" ht="62.25" customHeight="1" hidden="1">
      <c r="A828" s="306"/>
      <c r="B828" s="293"/>
      <c r="C828" s="306"/>
      <c r="D828" s="297"/>
      <c r="E828" s="28" t="s">
        <v>1079</v>
      </c>
      <c r="F828" s="28"/>
      <c r="G828" s="28"/>
      <c r="H828" s="28"/>
      <c r="I828" s="261">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5"/>
        <v>0</v>
      </c>
      <c r="X828" s="29"/>
      <c r="Y828" s="29">
        <f t="shared" si="110"/>
        <v>0</v>
      </c>
    </row>
    <row r="829" spans="1:25" ht="60" customHeight="1" hidden="1">
      <c r="A829" s="306"/>
      <c r="B829" s="293"/>
      <c r="C829" s="306"/>
      <c r="D829" s="297"/>
      <c r="E829" s="28" t="s">
        <v>1080</v>
      </c>
      <c r="F829" s="28"/>
      <c r="G829" s="28"/>
      <c r="H829" s="28"/>
      <c r="I829" s="261">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9">
        <f t="shared" si="110"/>
        <v>0</v>
      </c>
    </row>
    <row r="830" spans="1:25" ht="60.75" customHeight="1" hidden="1">
      <c r="A830" s="306"/>
      <c r="B830" s="293"/>
      <c r="C830" s="306"/>
      <c r="D830" s="297"/>
      <c r="E830" s="28" t="s">
        <v>626</v>
      </c>
      <c r="F830" s="28"/>
      <c r="G830" s="28"/>
      <c r="H830" s="28"/>
      <c r="I830" s="261">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9">
        <f t="shared" si="110"/>
        <v>0</v>
      </c>
    </row>
    <row r="831" spans="1:25" ht="36" hidden="1">
      <c r="A831" s="306"/>
      <c r="B831" s="293"/>
      <c r="C831" s="306"/>
      <c r="D831" s="297"/>
      <c r="E831" s="28" t="s">
        <v>627</v>
      </c>
      <c r="F831" s="28"/>
      <c r="G831" s="28"/>
      <c r="H831" s="28"/>
      <c r="I831" s="261">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9">
        <f t="shared" si="110"/>
        <v>0</v>
      </c>
    </row>
    <row r="832" spans="1:25" ht="64.5" customHeight="1" hidden="1">
      <c r="A832" s="306"/>
      <c r="B832" s="293"/>
      <c r="C832" s="306"/>
      <c r="D832" s="297"/>
      <c r="E832" s="28" t="s">
        <v>936</v>
      </c>
      <c r="F832" s="28"/>
      <c r="G832" s="28"/>
      <c r="H832" s="28"/>
      <c r="I832" s="261">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9">
        <f t="shared" si="110"/>
        <v>0</v>
      </c>
    </row>
    <row r="833" spans="1:25" ht="56.25">
      <c r="A833" s="306"/>
      <c r="B833" s="293"/>
      <c r="C833" s="306"/>
      <c r="D833" s="297"/>
      <c r="E833" s="28" t="s">
        <v>943</v>
      </c>
      <c r="F833" s="28"/>
      <c r="G833" s="28"/>
      <c r="H833" s="28"/>
      <c r="I833" s="261">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9">
        <f t="shared" si="110"/>
        <v>46736</v>
      </c>
    </row>
    <row r="834" spans="1:25" ht="36" hidden="1">
      <c r="A834" s="306"/>
      <c r="B834" s="293"/>
      <c r="C834" s="306"/>
      <c r="D834" s="297"/>
      <c r="E834" s="28" t="s">
        <v>944</v>
      </c>
      <c r="F834" s="28"/>
      <c r="G834" s="28"/>
      <c r="H834" s="28"/>
      <c r="I834" s="261">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9">
        <f t="shared" si="110"/>
        <v>0</v>
      </c>
    </row>
    <row r="835" spans="1:25" ht="56.25">
      <c r="A835" s="306"/>
      <c r="B835" s="293"/>
      <c r="C835" s="306"/>
      <c r="D835" s="297"/>
      <c r="E835" s="28" t="s">
        <v>533</v>
      </c>
      <c r="F835" s="28"/>
      <c r="G835" s="28"/>
      <c r="H835" s="28"/>
      <c r="I835" s="261">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9">
        <f t="shared" si="110"/>
        <v>131560</v>
      </c>
    </row>
    <row r="836" spans="1:25" ht="36" hidden="1">
      <c r="A836" s="306"/>
      <c r="B836" s="293"/>
      <c r="C836" s="306"/>
      <c r="D836" s="297"/>
      <c r="E836" s="28" t="s">
        <v>534</v>
      </c>
      <c r="F836" s="28"/>
      <c r="G836" s="28"/>
      <c r="H836" s="28"/>
      <c r="I836" s="261">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9">
        <f t="shared" si="110"/>
        <v>0</v>
      </c>
    </row>
    <row r="837" spans="1:25" ht="56.25">
      <c r="A837" s="306"/>
      <c r="B837" s="293"/>
      <c r="C837" s="306"/>
      <c r="D837" s="297"/>
      <c r="E837" s="28" t="s">
        <v>535</v>
      </c>
      <c r="F837" s="28"/>
      <c r="G837" s="28"/>
      <c r="H837" s="28"/>
      <c r="I837" s="261">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9">
        <f t="shared" si="110"/>
        <v>110502.32</v>
      </c>
    </row>
    <row r="838" spans="1:25" ht="56.25">
      <c r="A838" s="306"/>
      <c r="B838" s="293"/>
      <c r="C838" s="306"/>
      <c r="D838" s="297"/>
      <c r="E838" s="28" t="s">
        <v>542</v>
      </c>
      <c r="F838" s="28"/>
      <c r="G838" s="28"/>
      <c r="H838" s="28"/>
      <c r="I838" s="261">
        <v>3210</v>
      </c>
      <c r="J838" s="47">
        <v>250000</v>
      </c>
      <c r="K838" s="182"/>
      <c r="L838" s="182"/>
      <c r="M838" s="182"/>
      <c r="N838" s="182"/>
      <c r="O838" s="182"/>
      <c r="P838" s="182"/>
      <c r="Q838" s="182"/>
      <c r="R838" s="182"/>
      <c r="S838" s="182"/>
      <c r="T838" s="182"/>
      <c r="U838" s="182"/>
      <c r="V838" s="182">
        <v>250000</v>
      </c>
      <c r="W838" s="29">
        <f t="shared" si="111"/>
        <v>0</v>
      </c>
      <c r="X838" s="29"/>
      <c r="Y838" s="29">
        <f t="shared" si="110"/>
        <v>0</v>
      </c>
    </row>
    <row r="839" spans="1:25" ht="56.25">
      <c r="A839" s="306"/>
      <c r="B839" s="293"/>
      <c r="C839" s="306"/>
      <c r="D839" s="297"/>
      <c r="E839" s="28" t="s">
        <v>623</v>
      </c>
      <c r="F839" s="28"/>
      <c r="G839" s="28"/>
      <c r="H839" s="28"/>
      <c r="I839" s="261">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9">
        <f t="shared" si="110"/>
        <v>80400.52</v>
      </c>
    </row>
    <row r="840" spans="1:25" ht="75">
      <c r="A840" s="306"/>
      <c r="B840" s="293"/>
      <c r="C840" s="306"/>
      <c r="D840" s="297"/>
      <c r="E840" s="28" t="s">
        <v>519</v>
      </c>
      <c r="F840" s="28"/>
      <c r="G840" s="28"/>
      <c r="H840" s="28"/>
      <c r="I840" s="261">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9">
        <f t="shared" si="110"/>
        <v>200962.88</v>
      </c>
    </row>
    <row r="841" spans="1:25" ht="54" hidden="1">
      <c r="A841" s="306"/>
      <c r="B841" s="293"/>
      <c r="C841" s="306"/>
      <c r="D841" s="297"/>
      <c r="E841" s="28" t="s">
        <v>1054</v>
      </c>
      <c r="F841" s="28"/>
      <c r="G841" s="28"/>
      <c r="H841" s="28"/>
      <c r="I841" s="261">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9">
        <f t="shared" si="110"/>
        <v>0</v>
      </c>
    </row>
    <row r="842" spans="1:25" ht="56.25">
      <c r="A842" s="306"/>
      <c r="B842" s="293"/>
      <c r="C842" s="306"/>
      <c r="D842" s="297"/>
      <c r="E842" s="28" t="s">
        <v>25</v>
      </c>
      <c r="F842" s="28"/>
      <c r="G842" s="28"/>
      <c r="H842" s="28"/>
      <c r="I842" s="261">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9">
        <f t="shared" si="110"/>
        <v>152157.8</v>
      </c>
    </row>
    <row r="843" spans="1:25" ht="90" hidden="1">
      <c r="A843" s="306"/>
      <c r="B843" s="293"/>
      <c r="C843" s="306"/>
      <c r="D843" s="297"/>
      <c r="E843" s="28" t="s">
        <v>154</v>
      </c>
      <c r="F843" s="28"/>
      <c r="G843" s="28"/>
      <c r="H843" s="28"/>
      <c r="I843" s="261">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9">
        <f t="shared" si="110"/>
        <v>0</v>
      </c>
    </row>
    <row r="844" spans="1:25" ht="93.75">
      <c r="A844" s="306"/>
      <c r="B844" s="293"/>
      <c r="C844" s="306"/>
      <c r="D844" s="297"/>
      <c r="E844" s="28" t="s">
        <v>252</v>
      </c>
      <c r="F844" s="28"/>
      <c r="G844" s="28"/>
      <c r="H844" s="28"/>
      <c r="I844" s="261">
        <v>3210</v>
      </c>
      <c r="J844" s="47">
        <v>65000</v>
      </c>
      <c r="K844" s="182"/>
      <c r="L844" s="182"/>
      <c r="M844" s="182">
        <v>10000</v>
      </c>
      <c r="N844" s="182">
        <v>0</v>
      </c>
      <c r="O844" s="182">
        <v>55000</v>
      </c>
      <c r="P844" s="182"/>
      <c r="Q844" s="182"/>
      <c r="R844" s="182"/>
      <c r="S844" s="182"/>
      <c r="T844" s="182"/>
      <c r="U844" s="182"/>
      <c r="V844" s="182"/>
      <c r="W844" s="29">
        <f t="shared" si="111"/>
        <v>0</v>
      </c>
      <c r="X844" s="29">
        <f>1332</f>
        <v>1332</v>
      </c>
      <c r="Y844" s="29">
        <f t="shared" si="110"/>
        <v>63668</v>
      </c>
    </row>
    <row r="845" spans="1:25" ht="37.5">
      <c r="A845" s="306"/>
      <c r="B845" s="293"/>
      <c r="C845" s="306"/>
      <c r="D845" s="297"/>
      <c r="E845" s="78" t="s">
        <v>22</v>
      </c>
      <c r="F845" s="78"/>
      <c r="G845" s="78"/>
      <c r="H845" s="78"/>
      <c r="I845" s="263"/>
      <c r="J845" s="79">
        <f>SUM(J846:J900)</f>
        <v>7924293</v>
      </c>
      <c r="K845" s="79">
        <f aca="true" t="shared" si="112" ref="K845:X845">SUM(K846:K900)</f>
        <v>0</v>
      </c>
      <c r="L845" s="79">
        <f t="shared" si="112"/>
        <v>290000</v>
      </c>
      <c r="M845" s="79">
        <f t="shared" si="112"/>
        <v>1729240</v>
      </c>
      <c r="N845" s="79">
        <f t="shared" si="112"/>
        <v>1537352</v>
      </c>
      <c r="O845" s="79">
        <f t="shared" si="112"/>
        <v>-2881150</v>
      </c>
      <c r="P845" s="79">
        <f t="shared" si="112"/>
        <v>3270</v>
      </c>
      <c r="Q845" s="79">
        <f t="shared" si="112"/>
        <v>4082310</v>
      </c>
      <c r="R845" s="79">
        <f t="shared" si="112"/>
        <v>773720</v>
      </c>
      <c r="S845" s="79">
        <f t="shared" si="112"/>
        <v>406140</v>
      </c>
      <c r="T845" s="79">
        <f t="shared" si="112"/>
        <v>343621</v>
      </c>
      <c r="U845" s="79">
        <f t="shared" si="112"/>
        <v>1026790</v>
      </c>
      <c r="V845" s="79">
        <f t="shared" si="112"/>
        <v>613000</v>
      </c>
      <c r="W845" s="79">
        <f t="shared" si="112"/>
        <v>0</v>
      </c>
      <c r="X845" s="79">
        <f t="shared" si="112"/>
        <v>4581099.840000001</v>
      </c>
      <c r="Y845" s="29">
        <f t="shared" si="110"/>
        <v>1703403.1599999992</v>
      </c>
    </row>
    <row r="846" spans="1:25" ht="79.5" customHeight="1">
      <c r="A846" s="306"/>
      <c r="B846" s="293"/>
      <c r="C846" s="306"/>
      <c r="D846" s="297"/>
      <c r="E846" s="72" t="s">
        <v>1178</v>
      </c>
      <c r="F846" s="72"/>
      <c r="G846" s="72"/>
      <c r="H846" s="72"/>
      <c r="I846" s="261">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9">
        <f t="shared" si="110"/>
        <v>0</v>
      </c>
    </row>
    <row r="847" spans="1:25" ht="174" customHeight="1">
      <c r="A847" s="306"/>
      <c r="B847" s="293"/>
      <c r="C847" s="306"/>
      <c r="D847" s="297"/>
      <c r="E847" s="190" t="s">
        <v>695</v>
      </c>
      <c r="F847" s="190"/>
      <c r="G847" s="190"/>
      <c r="H847" s="190"/>
      <c r="I847" s="264">
        <v>3210</v>
      </c>
      <c r="J847" s="207">
        <v>290000</v>
      </c>
      <c r="K847" s="180"/>
      <c r="L847" s="180">
        <v>290000</v>
      </c>
      <c r="M847" s="180"/>
      <c r="N847" s="180"/>
      <c r="O847" s="180"/>
      <c r="P847" s="180"/>
      <c r="Q847" s="180"/>
      <c r="R847" s="180"/>
      <c r="S847" s="180"/>
      <c r="T847" s="180"/>
      <c r="U847" s="180"/>
      <c r="V847" s="180"/>
      <c r="W847" s="29">
        <f t="shared" si="111"/>
        <v>0</v>
      </c>
      <c r="X847" s="29"/>
      <c r="Y847" s="29">
        <f t="shared" si="110"/>
        <v>290000</v>
      </c>
    </row>
    <row r="848" spans="1:25" ht="80.25" customHeight="1">
      <c r="A848" s="306"/>
      <c r="B848" s="293"/>
      <c r="C848" s="306"/>
      <c r="D848" s="297"/>
      <c r="E848" s="80" t="s">
        <v>1012</v>
      </c>
      <c r="F848" s="80"/>
      <c r="G848" s="80"/>
      <c r="H848" s="80"/>
      <c r="I848" s="261">
        <v>3210</v>
      </c>
      <c r="J848" s="47">
        <v>7201</v>
      </c>
      <c r="K848" s="29"/>
      <c r="L848" s="29"/>
      <c r="M848" s="29"/>
      <c r="N848" s="29"/>
      <c r="O848" s="29"/>
      <c r="P848" s="29"/>
      <c r="Q848" s="29"/>
      <c r="R848" s="29"/>
      <c r="S848" s="29"/>
      <c r="T848" s="29">
        <v>7201</v>
      </c>
      <c r="U848" s="29"/>
      <c r="V848" s="29"/>
      <c r="W848" s="29">
        <f t="shared" si="111"/>
        <v>0</v>
      </c>
      <c r="X848" s="29"/>
      <c r="Y848" s="29">
        <f t="shared" si="110"/>
        <v>7201</v>
      </c>
    </row>
    <row r="849" spans="1:25" ht="75">
      <c r="A849" s="306"/>
      <c r="B849" s="293"/>
      <c r="C849" s="306"/>
      <c r="D849" s="297"/>
      <c r="E849" s="80" t="s">
        <v>367</v>
      </c>
      <c r="F849" s="80"/>
      <c r="G849" s="80"/>
      <c r="H849" s="80"/>
      <c r="I849" s="261">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9">
        <f t="shared" si="110"/>
        <v>0</v>
      </c>
    </row>
    <row r="850" spans="1:25" ht="56.25">
      <c r="A850" s="306"/>
      <c r="B850" s="293"/>
      <c r="C850" s="306"/>
      <c r="D850" s="297"/>
      <c r="E850" s="80" t="s">
        <v>287</v>
      </c>
      <c r="F850" s="80"/>
      <c r="G850" s="80"/>
      <c r="H850" s="80"/>
      <c r="I850" s="261">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9">
        <f t="shared" si="110"/>
        <v>0</v>
      </c>
    </row>
    <row r="851" spans="1:25" ht="56.25">
      <c r="A851" s="306"/>
      <c r="B851" s="293"/>
      <c r="C851" s="306"/>
      <c r="D851" s="297"/>
      <c r="E851" s="80" t="s">
        <v>288</v>
      </c>
      <c r="F851" s="80"/>
      <c r="G851" s="80"/>
      <c r="H851" s="80"/>
      <c r="I851" s="261">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9">
        <f t="shared" si="110"/>
        <v>0</v>
      </c>
    </row>
    <row r="852" spans="1:25" ht="75">
      <c r="A852" s="306"/>
      <c r="B852" s="293"/>
      <c r="C852" s="306"/>
      <c r="D852" s="297"/>
      <c r="E852" s="80" t="s">
        <v>4</v>
      </c>
      <c r="F852" s="80"/>
      <c r="G852" s="80"/>
      <c r="H852" s="80"/>
      <c r="I852" s="261">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9">
        <f t="shared" si="110"/>
        <v>109702.53999999998</v>
      </c>
    </row>
    <row r="853" spans="1:25" ht="36" hidden="1">
      <c r="A853" s="306"/>
      <c r="B853" s="293"/>
      <c r="C853" s="306"/>
      <c r="D853" s="297"/>
      <c r="E853" s="72" t="s">
        <v>800</v>
      </c>
      <c r="F853" s="72"/>
      <c r="G853" s="72"/>
      <c r="H853" s="72"/>
      <c r="I853" s="261">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9">
        <f t="shared" si="110"/>
        <v>0</v>
      </c>
    </row>
    <row r="854" spans="1:25" ht="36" hidden="1">
      <c r="A854" s="306"/>
      <c r="B854" s="293"/>
      <c r="C854" s="306"/>
      <c r="D854" s="297"/>
      <c r="E854" s="72" t="s">
        <v>870</v>
      </c>
      <c r="F854" s="72"/>
      <c r="G854" s="72"/>
      <c r="H854" s="72"/>
      <c r="I854" s="261">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9">
        <f t="shared" si="110"/>
        <v>0</v>
      </c>
    </row>
    <row r="855" spans="1:25" ht="75">
      <c r="A855" s="306"/>
      <c r="B855" s="293"/>
      <c r="C855" s="306"/>
      <c r="D855" s="297"/>
      <c r="E855" s="72" t="s">
        <v>1007</v>
      </c>
      <c r="F855" s="72"/>
      <c r="G855" s="72"/>
      <c r="H855" s="72"/>
      <c r="I855" s="261">
        <v>3210</v>
      </c>
      <c r="J855" s="47">
        <f>193000</f>
        <v>193000</v>
      </c>
      <c r="K855" s="29"/>
      <c r="L855" s="29"/>
      <c r="M855" s="29"/>
      <c r="N855" s="29"/>
      <c r="O855" s="29"/>
      <c r="P855" s="29"/>
      <c r="Q855" s="29"/>
      <c r="R855" s="29"/>
      <c r="S855" s="29"/>
      <c r="T855" s="29">
        <v>88780</v>
      </c>
      <c r="U855" s="29">
        <v>104220</v>
      </c>
      <c r="V855" s="29"/>
      <c r="W855" s="29">
        <f t="shared" si="111"/>
        <v>0</v>
      </c>
      <c r="X855" s="29"/>
      <c r="Y855" s="29">
        <f t="shared" si="110"/>
        <v>88780</v>
      </c>
    </row>
    <row r="856" spans="1:25" ht="36" hidden="1">
      <c r="A856" s="306"/>
      <c r="B856" s="293"/>
      <c r="C856" s="306"/>
      <c r="D856" s="297"/>
      <c r="E856" s="72" t="s">
        <v>248</v>
      </c>
      <c r="F856" s="72"/>
      <c r="G856" s="72"/>
      <c r="H856" s="72"/>
      <c r="I856" s="261">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9">
        <f>K856+L856+M856+N856+O856+P856+Q856+R856+S856+T856-X856</f>
        <v>0</v>
      </c>
    </row>
    <row r="857" spans="1:25" ht="75">
      <c r="A857" s="306"/>
      <c r="B857" s="293"/>
      <c r="C857" s="306"/>
      <c r="D857" s="297"/>
      <c r="E857" s="72" t="s">
        <v>264</v>
      </c>
      <c r="F857" s="72"/>
      <c r="G857" s="72"/>
      <c r="H857" s="72"/>
      <c r="I857" s="261">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c r="Y857" s="29">
        <f>K857+L857+M857+N857+O857+P857+Q857+R857+S857+T857-X857</f>
        <v>89240</v>
      </c>
    </row>
    <row r="858" spans="1:25" ht="36" hidden="1">
      <c r="A858" s="306"/>
      <c r="B858" s="293"/>
      <c r="C858" s="306"/>
      <c r="D858" s="297"/>
      <c r="E858" s="72" t="s">
        <v>265</v>
      </c>
      <c r="F858" s="72"/>
      <c r="G858" s="72"/>
      <c r="H858" s="72"/>
      <c r="I858" s="261">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9">
        <f t="shared" si="110"/>
        <v>0</v>
      </c>
    </row>
    <row r="859" spans="1:25" ht="56.25">
      <c r="A859" s="306"/>
      <c r="B859" s="293"/>
      <c r="C859" s="306"/>
      <c r="D859" s="297"/>
      <c r="E859" s="72" t="s">
        <v>449</v>
      </c>
      <c r="F859" s="72"/>
      <c r="G859" s="72"/>
      <c r="H859" s="72"/>
      <c r="I859" s="261">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c r="Y859" s="29">
        <f t="shared" si="110"/>
        <v>880</v>
      </c>
    </row>
    <row r="860" spans="1:25" ht="54" hidden="1">
      <c r="A860" s="306"/>
      <c r="B860" s="293"/>
      <c r="C860" s="306"/>
      <c r="D860" s="297"/>
      <c r="E860" s="72" t="s">
        <v>347</v>
      </c>
      <c r="F860" s="72"/>
      <c r="G860" s="72"/>
      <c r="H860" s="72"/>
      <c r="I860" s="261">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9">
        <f t="shared" si="110"/>
        <v>0</v>
      </c>
    </row>
    <row r="861" spans="1:25" ht="56.25">
      <c r="A861" s="306"/>
      <c r="B861" s="293"/>
      <c r="C861" s="306"/>
      <c r="D861" s="297"/>
      <c r="E861" s="72" t="s">
        <v>664</v>
      </c>
      <c r="F861" s="72"/>
      <c r="G861" s="72"/>
      <c r="H861" s="72"/>
      <c r="I861" s="261">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9">
        <f t="shared" si="110"/>
        <v>4384.399999999994</v>
      </c>
    </row>
    <row r="862" spans="1:25" ht="75">
      <c r="A862" s="306"/>
      <c r="B862" s="293"/>
      <c r="C862" s="306"/>
      <c r="D862" s="297"/>
      <c r="E862" s="72" t="s">
        <v>665</v>
      </c>
      <c r="F862" s="72"/>
      <c r="G862" s="72"/>
      <c r="H862" s="72"/>
      <c r="I862" s="261">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9">
        <f t="shared" si="110"/>
        <v>2814</v>
      </c>
    </row>
    <row r="863" spans="1:25" ht="56.25">
      <c r="A863" s="306"/>
      <c r="B863" s="293"/>
      <c r="C863" s="306"/>
      <c r="D863" s="297"/>
      <c r="E863" s="72" t="s">
        <v>555</v>
      </c>
      <c r="F863" s="72"/>
      <c r="G863" s="72"/>
      <c r="H863" s="72"/>
      <c r="I863" s="261">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9">
        <f t="shared" si="110"/>
        <v>381.5599999999977</v>
      </c>
    </row>
    <row r="864" spans="1:25" ht="75">
      <c r="A864" s="306"/>
      <c r="B864" s="293"/>
      <c r="C864" s="306"/>
      <c r="D864" s="297"/>
      <c r="E864" s="72" t="s">
        <v>39</v>
      </c>
      <c r="F864" s="72"/>
      <c r="G864" s="72"/>
      <c r="H864" s="72"/>
      <c r="I864" s="261">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113934.6+1251+114068.23+90110.4</f>
        <v>319364.23</v>
      </c>
      <c r="Y864" s="29">
        <f t="shared" si="110"/>
        <v>7135.770000000019</v>
      </c>
    </row>
    <row r="865" spans="1:25" ht="36" hidden="1">
      <c r="A865" s="306"/>
      <c r="B865" s="293"/>
      <c r="C865" s="306"/>
      <c r="D865" s="297"/>
      <c r="E865" s="72" t="s">
        <v>1153</v>
      </c>
      <c r="F865" s="72"/>
      <c r="G865" s="72"/>
      <c r="H865" s="72"/>
      <c r="I865" s="261">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9">
        <f t="shared" si="110"/>
        <v>0</v>
      </c>
    </row>
    <row r="866" spans="1:25" ht="75">
      <c r="A866" s="306"/>
      <c r="B866" s="293"/>
      <c r="C866" s="306"/>
      <c r="D866" s="297"/>
      <c r="E866" s="72" t="s">
        <v>380</v>
      </c>
      <c r="F866" s="72"/>
      <c r="G866" s="72"/>
      <c r="H866" s="72"/>
      <c r="I866" s="261">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93218.4+55.2+1132.83+77881.2</f>
        <v>172287.63</v>
      </c>
      <c r="Y866" s="29">
        <f t="shared" si="110"/>
        <v>27712.369999999995</v>
      </c>
    </row>
    <row r="867" spans="1:25" ht="75">
      <c r="A867" s="306"/>
      <c r="B867" s="293"/>
      <c r="C867" s="306"/>
      <c r="D867" s="297"/>
      <c r="E867" s="72" t="s">
        <v>225</v>
      </c>
      <c r="F867" s="72"/>
      <c r="G867" s="72"/>
      <c r="H867" s="72"/>
      <c r="I867" s="261">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9">
        <f t="shared" si="110"/>
        <v>8594.800000000003</v>
      </c>
    </row>
    <row r="868" spans="1:25" ht="56.25">
      <c r="A868" s="306"/>
      <c r="B868" s="293"/>
      <c r="C868" s="306"/>
      <c r="D868" s="297"/>
      <c r="E868" s="72" t="s">
        <v>112</v>
      </c>
      <c r="F868" s="72"/>
      <c r="G868" s="72"/>
      <c r="H868" s="72"/>
      <c r="I868" s="261">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9">
        <f t="shared" si="110"/>
        <v>1825</v>
      </c>
    </row>
    <row r="869" spans="1:25" ht="56.25">
      <c r="A869" s="306"/>
      <c r="B869" s="293"/>
      <c r="C869" s="306"/>
      <c r="D869" s="297"/>
      <c r="E869" s="72" t="s">
        <v>309</v>
      </c>
      <c r="F869" s="72"/>
      <c r="G869" s="72"/>
      <c r="H869" s="72"/>
      <c r="I869" s="261">
        <v>3210</v>
      </c>
      <c r="J869" s="47">
        <v>116000</v>
      </c>
      <c r="K869" s="29"/>
      <c r="L869" s="29"/>
      <c r="M869" s="29">
        <v>9280</v>
      </c>
      <c r="N869" s="29">
        <v>38280</v>
      </c>
      <c r="O869" s="29">
        <v>-47560</v>
      </c>
      <c r="P869" s="29"/>
      <c r="Q869" s="29">
        <v>68440</v>
      </c>
      <c r="R869" s="29"/>
      <c r="S869" s="29"/>
      <c r="T869" s="29"/>
      <c r="U869" s="29">
        <v>47560</v>
      </c>
      <c r="V869" s="29"/>
      <c r="W869" s="29">
        <f t="shared" si="111"/>
        <v>0</v>
      </c>
      <c r="X869" s="29">
        <f>11200</f>
        <v>11200</v>
      </c>
      <c r="Y869" s="29">
        <f t="shared" si="110"/>
        <v>57240</v>
      </c>
    </row>
    <row r="870" spans="1:25" ht="75">
      <c r="A870" s="306"/>
      <c r="B870" s="293"/>
      <c r="C870" s="306"/>
      <c r="D870" s="297"/>
      <c r="E870" s="72" t="s">
        <v>1155</v>
      </c>
      <c r="F870" s="72"/>
      <c r="G870" s="72"/>
      <c r="H870" s="72"/>
      <c r="I870" s="261">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9">
        <f t="shared" si="110"/>
        <v>193000</v>
      </c>
    </row>
    <row r="871" spans="1:25" ht="56.25">
      <c r="A871" s="306"/>
      <c r="B871" s="293"/>
      <c r="C871" s="306"/>
      <c r="D871" s="297"/>
      <c r="E871" s="72" t="s">
        <v>698</v>
      </c>
      <c r="F871" s="72"/>
      <c r="G871" s="72"/>
      <c r="H871" s="72"/>
      <c r="I871" s="261">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9">
        <f t="shared" si="110"/>
        <v>12090.839999999997</v>
      </c>
    </row>
    <row r="872" spans="1:25" ht="56.25">
      <c r="A872" s="306"/>
      <c r="B872" s="293"/>
      <c r="C872" s="306"/>
      <c r="D872" s="297"/>
      <c r="E872" s="72" t="s">
        <v>622</v>
      </c>
      <c r="F872" s="72"/>
      <c r="G872" s="72"/>
      <c r="H872" s="72"/>
      <c r="I872" s="261">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9">
        <f t="shared" si="110"/>
        <v>118088.8</v>
      </c>
    </row>
    <row r="873" spans="1:25" ht="56.25">
      <c r="A873" s="306"/>
      <c r="B873" s="293"/>
      <c r="C873" s="306"/>
      <c r="D873" s="297"/>
      <c r="E873" s="72" t="s">
        <v>396</v>
      </c>
      <c r="F873" s="72"/>
      <c r="G873" s="72"/>
      <c r="H873" s="72"/>
      <c r="I873" s="261">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c r="Y873" s="29">
        <f t="shared" si="110"/>
        <v>129300</v>
      </c>
    </row>
    <row r="874" spans="1:25" ht="56.25">
      <c r="A874" s="306"/>
      <c r="B874" s="293"/>
      <c r="C874" s="306"/>
      <c r="D874" s="297"/>
      <c r="E874" s="72" t="s">
        <v>439</v>
      </c>
      <c r="F874" s="72"/>
      <c r="G874" s="72"/>
      <c r="H874" s="72"/>
      <c r="I874" s="261">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113917.2+2159.74+63616.8</f>
        <v>179693.74</v>
      </c>
      <c r="Y874" s="29">
        <f t="shared" si="110"/>
        <v>52306.26000000001</v>
      </c>
    </row>
    <row r="875" spans="1:25" ht="54" hidden="1">
      <c r="A875" s="306"/>
      <c r="B875" s="293"/>
      <c r="C875" s="306"/>
      <c r="D875" s="297"/>
      <c r="E875" s="72" t="s">
        <v>440</v>
      </c>
      <c r="F875" s="72"/>
      <c r="G875" s="72"/>
      <c r="H875" s="72"/>
      <c r="I875" s="261">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9">
        <f t="shared" si="110"/>
        <v>0</v>
      </c>
    </row>
    <row r="876" spans="1:25" ht="54" hidden="1">
      <c r="A876" s="306"/>
      <c r="B876" s="293"/>
      <c r="C876" s="306"/>
      <c r="D876" s="297"/>
      <c r="E876" s="72" t="s">
        <v>157</v>
      </c>
      <c r="F876" s="72"/>
      <c r="G876" s="72"/>
      <c r="H876" s="72"/>
      <c r="I876" s="261">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9">
        <f t="shared" si="110"/>
        <v>0</v>
      </c>
    </row>
    <row r="877" spans="1:25" ht="54" hidden="1">
      <c r="A877" s="306"/>
      <c r="B877" s="293"/>
      <c r="C877" s="306"/>
      <c r="D877" s="297"/>
      <c r="E877" s="72" t="s">
        <v>310</v>
      </c>
      <c r="F877" s="72"/>
      <c r="G877" s="72"/>
      <c r="H877" s="72"/>
      <c r="I877" s="261">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9">
        <f t="shared" si="110"/>
        <v>0</v>
      </c>
    </row>
    <row r="878" spans="1:25" ht="75">
      <c r="A878" s="306"/>
      <c r="B878" s="293"/>
      <c r="C878" s="306"/>
      <c r="D878" s="297"/>
      <c r="E878" s="77" t="s">
        <v>568</v>
      </c>
      <c r="F878" s="77"/>
      <c r="G878" s="77"/>
      <c r="H878" s="77"/>
      <c r="I878" s="261">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9">
        <f t="shared" si="110"/>
        <v>667.3999999999942</v>
      </c>
    </row>
    <row r="879" spans="1:25" ht="75">
      <c r="A879" s="306"/>
      <c r="B879" s="293"/>
      <c r="C879" s="306"/>
      <c r="D879" s="297"/>
      <c r="E879" s="77" t="s">
        <v>569</v>
      </c>
      <c r="F879" s="77"/>
      <c r="G879" s="77"/>
      <c r="H879" s="77"/>
      <c r="I879" s="261">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9">
        <f t="shared" si="110"/>
        <v>24195.800000000003</v>
      </c>
    </row>
    <row r="880" spans="1:25" ht="75">
      <c r="A880" s="306"/>
      <c r="B880" s="293"/>
      <c r="C880" s="306"/>
      <c r="D880" s="297"/>
      <c r="E880" s="77" t="s">
        <v>478</v>
      </c>
      <c r="F880" s="77"/>
      <c r="G880" s="77"/>
      <c r="H880" s="77"/>
      <c r="I880" s="261">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9">
        <f t="shared" si="110"/>
        <v>37498.8</v>
      </c>
    </row>
    <row r="881" spans="1:25" ht="54" hidden="1">
      <c r="A881" s="306"/>
      <c r="B881" s="293"/>
      <c r="C881" s="306"/>
      <c r="D881" s="297"/>
      <c r="E881" s="77" t="s">
        <v>1072</v>
      </c>
      <c r="F881" s="77"/>
      <c r="G881" s="77"/>
      <c r="H881" s="77"/>
      <c r="I881" s="261">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9">
        <f t="shared" si="110"/>
        <v>0</v>
      </c>
    </row>
    <row r="882" spans="1:25" ht="54" hidden="1">
      <c r="A882" s="306"/>
      <c r="B882" s="293"/>
      <c r="C882" s="306"/>
      <c r="D882" s="297"/>
      <c r="E882" s="77" t="s">
        <v>1069</v>
      </c>
      <c r="F882" s="77"/>
      <c r="G882" s="77"/>
      <c r="H882" s="77"/>
      <c r="I882" s="261">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9">
        <f t="shared" si="110"/>
        <v>0</v>
      </c>
    </row>
    <row r="883" spans="1:25" ht="36" hidden="1">
      <c r="A883" s="306"/>
      <c r="B883" s="293"/>
      <c r="C883" s="306"/>
      <c r="D883" s="297"/>
      <c r="E883" s="77" t="s">
        <v>977</v>
      </c>
      <c r="F883" s="77"/>
      <c r="G883" s="77"/>
      <c r="H883" s="77"/>
      <c r="I883" s="261">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9">
        <f t="shared" si="110"/>
        <v>0</v>
      </c>
    </row>
    <row r="884" spans="1:25" ht="36" hidden="1">
      <c r="A884" s="306"/>
      <c r="B884" s="293"/>
      <c r="C884" s="306"/>
      <c r="D884" s="297"/>
      <c r="E884" s="77" t="s">
        <v>243</v>
      </c>
      <c r="F884" s="77"/>
      <c r="G884" s="77"/>
      <c r="H884" s="77"/>
      <c r="I884" s="261">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9">
        <f t="shared" si="110"/>
        <v>0</v>
      </c>
    </row>
    <row r="885" spans="1:25" ht="75">
      <c r="A885" s="306"/>
      <c r="B885" s="293"/>
      <c r="C885" s="306"/>
      <c r="D885" s="297"/>
      <c r="E885" s="77" t="s">
        <v>1156</v>
      </c>
      <c r="F885" s="77"/>
      <c r="G885" s="77"/>
      <c r="H885" s="77"/>
      <c r="I885" s="261">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9">
        <f t="shared" si="110"/>
        <v>35810.4</v>
      </c>
    </row>
    <row r="886" spans="1:25" ht="56.25">
      <c r="A886" s="306"/>
      <c r="B886" s="293"/>
      <c r="C886" s="306"/>
      <c r="D886" s="297"/>
      <c r="E886" s="77" t="s">
        <v>963</v>
      </c>
      <c r="F886" s="77"/>
      <c r="G886" s="77"/>
      <c r="H886" s="77"/>
      <c r="I886" s="261">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70212+1660.63+62638.8</f>
        <v>134511.43</v>
      </c>
      <c r="Y886" s="29">
        <f t="shared" si="110"/>
        <v>8488.570000000007</v>
      </c>
    </row>
    <row r="887" spans="1:25" ht="36" hidden="1">
      <c r="A887" s="306"/>
      <c r="B887" s="293"/>
      <c r="C887" s="306"/>
      <c r="D887" s="297"/>
      <c r="E887" s="77" t="s">
        <v>494</v>
      </c>
      <c r="F887" s="77"/>
      <c r="G887" s="77"/>
      <c r="H887" s="77"/>
      <c r="I887" s="261">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9">
        <f t="shared" si="110"/>
        <v>0</v>
      </c>
    </row>
    <row r="888" spans="1:25" ht="54" hidden="1">
      <c r="A888" s="306"/>
      <c r="B888" s="293"/>
      <c r="C888" s="306"/>
      <c r="D888" s="297"/>
      <c r="E888" s="77" t="s">
        <v>495</v>
      </c>
      <c r="F888" s="77"/>
      <c r="G888" s="77"/>
      <c r="H888" s="77"/>
      <c r="I888" s="261">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9">
        <f t="shared" si="110"/>
        <v>0</v>
      </c>
    </row>
    <row r="889" spans="1:25" ht="54" hidden="1">
      <c r="A889" s="306"/>
      <c r="B889" s="293"/>
      <c r="C889" s="306"/>
      <c r="D889" s="297"/>
      <c r="E889" s="77" t="s">
        <v>172</v>
      </c>
      <c r="F889" s="77"/>
      <c r="G889" s="77"/>
      <c r="H889" s="77"/>
      <c r="I889" s="261">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9">
        <f t="shared" si="110"/>
        <v>-58630</v>
      </c>
    </row>
    <row r="890" spans="1:25" ht="56.25">
      <c r="A890" s="306"/>
      <c r="B890" s="293"/>
      <c r="C890" s="306"/>
      <c r="D890" s="297"/>
      <c r="E890" s="77" t="s">
        <v>830</v>
      </c>
      <c r="F890" s="77"/>
      <c r="G890" s="77"/>
      <c r="H890" s="77"/>
      <c r="I890" s="261">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c r="Y890" s="29">
        <f t="shared" si="110"/>
        <v>118870</v>
      </c>
    </row>
    <row r="891" spans="1:25" ht="56.25">
      <c r="A891" s="306"/>
      <c r="B891" s="293"/>
      <c r="C891" s="306"/>
      <c r="D891" s="297"/>
      <c r="E891" s="77" t="s">
        <v>448</v>
      </c>
      <c r="F891" s="77"/>
      <c r="G891" s="77"/>
      <c r="H891" s="77"/>
      <c r="I891" s="261">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f>60133.44</f>
        <v>60133.44</v>
      </c>
      <c r="Y891" s="29">
        <f t="shared" si="110"/>
        <v>24236.559999999998</v>
      </c>
    </row>
    <row r="892" spans="1:25" ht="56.25">
      <c r="A892" s="306"/>
      <c r="B892" s="293"/>
      <c r="C892" s="306"/>
      <c r="D892" s="297"/>
      <c r="E892" s="77" t="s">
        <v>1243</v>
      </c>
      <c r="F892" s="77"/>
      <c r="G892" s="77"/>
      <c r="H892" s="77"/>
      <c r="I892" s="261">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9">
        <f t="shared" si="110"/>
        <v>115138.4</v>
      </c>
    </row>
    <row r="893" spans="1:25" ht="56.25">
      <c r="A893" s="306"/>
      <c r="B893" s="293"/>
      <c r="C893" s="306"/>
      <c r="D893" s="297"/>
      <c r="E893" s="77" t="s">
        <v>771</v>
      </c>
      <c r="F893" s="77"/>
      <c r="G893" s="77"/>
      <c r="H893" s="77"/>
      <c r="I893" s="261">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f>14000</f>
        <v>14000</v>
      </c>
      <c r="Y893" s="29">
        <f aca="true" t="shared" si="113" ref="Y893:Y959">K893+L893+M893+N893+O893+P893+Q893+R893+S893+T893-X893</f>
        <v>160370</v>
      </c>
    </row>
    <row r="894" spans="1:25" ht="56.25">
      <c r="A894" s="306"/>
      <c r="B894" s="293"/>
      <c r="C894" s="306"/>
      <c r="D894" s="297"/>
      <c r="E894" s="77" t="s">
        <v>772</v>
      </c>
      <c r="F894" s="77"/>
      <c r="G894" s="77"/>
      <c r="H894" s="77"/>
      <c r="I894" s="261">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9">
        <f t="shared" si="113"/>
        <v>28746.829999999987</v>
      </c>
    </row>
    <row r="895" spans="1:25" ht="36" hidden="1">
      <c r="A895" s="306"/>
      <c r="B895" s="293"/>
      <c r="C895" s="306"/>
      <c r="D895" s="297"/>
      <c r="E895" s="77" t="s">
        <v>63</v>
      </c>
      <c r="F895" s="77"/>
      <c r="G895" s="77"/>
      <c r="H895" s="77"/>
      <c r="I895" s="261">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9">
        <f t="shared" si="113"/>
        <v>0</v>
      </c>
    </row>
    <row r="896" spans="1:25" ht="36" hidden="1">
      <c r="A896" s="306"/>
      <c r="B896" s="293"/>
      <c r="C896" s="306"/>
      <c r="D896" s="297"/>
      <c r="E896" s="77" t="s">
        <v>94</v>
      </c>
      <c r="F896" s="77"/>
      <c r="G896" s="77"/>
      <c r="H896" s="77"/>
      <c r="I896" s="261">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9">
        <f t="shared" si="113"/>
        <v>0</v>
      </c>
    </row>
    <row r="897" spans="1:25" ht="56.25">
      <c r="A897" s="306"/>
      <c r="B897" s="293"/>
      <c r="C897" s="306"/>
      <c r="D897" s="297"/>
      <c r="E897" s="77" t="s">
        <v>65</v>
      </c>
      <c r="F897" s="77"/>
      <c r="G897" s="77"/>
      <c r="H897" s="77"/>
      <c r="I897" s="261">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9">
        <f t="shared" si="113"/>
        <v>6968.059999999998</v>
      </c>
    </row>
    <row r="898" spans="1:25" ht="56.25">
      <c r="A898" s="306"/>
      <c r="B898" s="293"/>
      <c r="C898" s="306"/>
      <c r="D898" s="297"/>
      <c r="E898" s="72" t="s">
        <v>1008</v>
      </c>
      <c r="F898" s="77"/>
      <c r="G898" s="77"/>
      <c r="H898" s="77"/>
      <c r="I898" s="261">
        <v>3210</v>
      </c>
      <c r="J898" s="47">
        <v>75000</v>
      </c>
      <c r="K898" s="29"/>
      <c r="L898" s="29"/>
      <c r="M898" s="29"/>
      <c r="N898" s="29"/>
      <c r="O898" s="29"/>
      <c r="P898" s="29"/>
      <c r="Q898" s="29"/>
      <c r="R898" s="29"/>
      <c r="S898" s="29"/>
      <c r="T898" s="29"/>
      <c r="U898" s="29">
        <f>75000</f>
        <v>75000</v>
      </c>
      <c r="V898" s="29"/>
      <c r="W898" s="29">
        <f t="shared" si="111"/>
        <v>0</v>
      </c>
      <c r="X898" s="29"/>
      <c r="Y898" s="29">
        <f t="shared" si="113"/>
        <v>0</v>
      </c>
    </row>
    <row r="899" spans="1:25" ht="56.25">
      <c r="A899" s="306"/>
      <c r="B899" s="293"/>
      <c r="C899" s="306"/>
      <c r="D899" s="297"/>
      <c r="E899" s="72" t="s">
        <v>1009</v>
      </c>
      <c r="F899" s="77"/>
      <c r="G899" s="77"/>
      <c r="H899" s="77"/>
      <c r="I899" s="261">
        <v>3210</v>
      </c>
      <c r="J899" s="47">
        <v>75000</v>
      </c>
      <c r="K899" s="29"/>
      <c r="L899" s="29"/>
      <c r="M899" s="29"/>
      <c r="N899" s="29"/>
      <c r="O899" s="29"/>
      <c r="P899" s="29"/>
      <c r="Q899" s="29"/>
      <c r="R899" s="29"/>
      <c r="S899" s="29"/>
      <c r="T899" s="29"/>
      <c r="U899" s="29">
        <f>75000</f>
        <v>75000</v>
      </c>
      <c r="V899" s="29"/>
      <c r="W899" s="29">
        <f t="shared" si="111"/>
        <v>0</v>
      </c>
      <c r="X899" s="29"/>
      <c r="Y899" s="29">
        <f t="shared" si="113"/>
        <v>0</v>
      </c>
    </row>
    <row r="900" spans="1:25" ht="56.25">
      <c r="A900" s="306"/>
      <c r="B900" s="293"/>
      <c r="C900" s="306"/>
      <c r="D900" s="297"/>
      <c r="E900" s="77" t="s">
        <v>1157</v>
      </c>
      <c r="F900" s="77"/>
      <c r="G900" s="77"/>
      <c r="H900" s="77"/>
      <c r="I900" s="261">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c r="Y900" s="29">
        <f t="shared" si="113"/>
        <v>365</v>
      </c>
    </row>
    <row r="901" spans="1:25" ht="56.25">
      <c r="A901" s="306"/>
      <c r="B901" s="293"/>
      <c r="C901" s="306"/>
      <c r="D901" s="297"/>
      <c r="E901" s="30" t="s">
        <v>702</v>
      </c>
      <c r="F901" s="30"/>
      <c r="G901" s="30"/>
      <c r="H901" s="30"/>
      <c r="I901" s="261"/>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9">
        <f t="shared" si="113"/>
        <v>0</v>
      </c>
    </row>
    <row r="902" spans="1:25" ht="36" hidden="1">
      <c r="A902" s="306"/>
      <c r="B902" s="293"/>
      <c r="C902" s="306"/>
      <c r="D902" s="297"/>
      <c r="E902" s="28" t="s">
        <v>959</v>
      </c>
      <c r="F902" s="28"/>
      <c r="G902" s="28"/>
      <c r="H902" s="28"/>
      <c r="I902" s="261">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9">
        <f t="shared" si="113"/>
        <v>0</v>
      </c>
    </row>
    <row r="903" spans="1:25" ht="56.25">
      <c r="A903" s="306"/>
      <c r="B903" s="293"/>
      <c r="C903" s="306"/>
      <c r="D903" s="297"/>
      <c r="E903" s="28" t="s">
        <v>761</v>
      </c>
      <c r="F903" s="28"/>
      <c r="G903" s="28"/>
      <c r="H903" s="28"/>
      <c r="I903" s="261">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9">
        <f t="shared" si="113"/>
        <v>0</v>
      </c>
    </row>
    <row r="904" spans="1:25" ht="42" customHeight="1">
      <c r="A904" s="306"/>
      <c r="B904" s="293"/>
      <c r="C904" s="306"/>
      <c r="D904" s="297"/>
      <c r="E904" s="28" t="s">
        <v>816</v>
      </c>
      <c r="F904" s="28"/>
      <c r="G904" s="28"/>
      <c r="H904" s="28"/>
      <c r="I904" s="261">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9">
        <f t="shared" si="113"/>
        <v>0</v>
      </c>
    </row>
    <row r="905" spans="1:25" ht="36" hidden="1">
      <c r="A905" s="306"/>
      <c r="B905" s="293"/>
      <c r="C905" s="306"/>
      <c r="D905" s="297"/>
      <c r="E905" s="28" t="s">
        <v>762</v>
      </c>
      <c r="F905" s="28"/>
      <c r="G905" s="28"/>
      <c r="H905" s="28"/>
      <c r="I905" s="261">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9">
        <f t="shared" si="113"/>
        <v>0</v>
      </c>
    </row>
    <row r="906" spans="1:25" ht="37.5">
      <c r="A906" s="306"/>
      <c r="B906" s="293"/>
      <c r="C906" s="306"/>
      <c r="D906" s="297"/>
      <c r="E906" s="28" t="s">
        <v>961</v>
      </c>
      <c r="F906" s="28"/>
      <c r="G906" s="28"/>
      <c r="H906" s="28"/>
      <c r="I906" s="261">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9">
        <f t="shared" si="113"/>
        <v>0</v>
      </c>
    </row>
    <row r="907" spans="1:25" ht="18.75">
      <c r="A907" s="306"/>
      <c r="B907" s="293"/>
      <c r="C907" s="306"/>
      <c r="D907" s="297"/>
      <c r="E907" s="28" t="s">
        <v>763</v>
      </c>
      <c r="F907" s="28"/>
      <c r="G907" s="28"/>
      <c r="H907" s="28"/>
      <c r="I907" s="261">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9">
        <f t="shared" si="113"/>
        <v>0</v>
      </c>
    </row>
    <row r="908" spans="1:25" ht="37.5">
      <c r="A908" s="306"/>
      <c r="B908" s="293"/>
      <c r="C908" s="306"/>
      <c r="D908" s="297"/>
      <c r="E908" s="28" t="s">
        <v>1010</v>
      </c>
      <c r="F908" s="28"/>
      <c r="G908" s="28"/>
      <c r="H908" s="28"/>
      <c r="I908" s="261">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9">
        <f t="shared" si="113"/>
        <v>0</v>
      </c>
    </row>
    <row r="909" spans="1:25" ht="36" hidden="1">
      <c r="A909" s="306"/>
      <c r="B909" s="293"/>
      <c r="C909" s="306"/>
      <c r="D909" s="297"/>
      <c r="E909" s="28" t="s">
        <v>142</v>
      </c>
      <c r="F909" s="28"/>
      <c r="G909" s="28"/>
      <c r="H909" s="28"/>
      <c r="I909" s="261">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5" ref="W909:W986">J909-K909-L909-M909-N909-O909-P909-Q909-R909-S909-T909-U909-V909</f>
        <v>0</v>
      </c>
      <c r="X909" s="29"/>
      <c r="Y909" s="29">
        <f t="shared" si="113"/>
        <v>0</v>
      </c>
    </row>
    <row r="910" spans="1:25" ht="37.5">
      <c r="A910" s="306"/>
      <c r="B910" s="293"/>
      <c r="C910" s="306"/>
      <c r="D910" s="297"/>
      <c r="E910" s="30" t="s">
        <v>709</v>
      </c>
      <c r="F910" s="30"/>
      <c r="G910" s="30"/>
      <c r="H910" s="30"/>
      <c r="I910" s="261"/>
      <c r="J910" s="79">
        <f>SUM(J911:J940)</f>
        <v>15323289.48</v>
      </c>
      <c r="K910" s="79">
        <f aca="true" t="shared" si="116" ref="K910:X910">SUM(K911:K940)</f>
        <v>0</v>
      </c>
      <c r="L910" s="79">
        <f t="shared" si="116"/>
        <v>300000</v>
      </c>
      <c r="M910" s="79">
        <f t="shared" si="116"/>
        <v>1205000</v>
      </c>
      <c r="N910" s="79">
        <f t="shared" si="116"/>
        <v>961800</v>
      </c>
      <c r="O910" s="79">
        <f t="shared" si="116"/>
        <v>180949.03000000003</v>
      </c>
      <c r="P910" s="79">
        <f t="shared" si="116"/>
        <v>0</v>
      </c>
      <c r="Q910" s="79">
        <f t="shared" si="116"/>
        <v>2628750.9699999997</v>
      </c>
      <c r="R910" s="79">
        <f t="shared" si="116"/>
        <v>2794756</v>
      </c>
      <c r="S910" s="79">
        <f t="shared" si="116"/>
        <v>2584462</v>
      </c>
      <c r="T910" s="79">
        <f t="shared" si="116"/>
        <v>2249438</v>
      </c>
      <c r="U910" s="79">
        <f t="shared" si="116"/>
        <v>1472844</v>
      </c>
      <c r="V910" s="79">
        <f t="shared" si="116"/>
        <v>945289.48</v>
      </c>
      <c r="W910" s="79">
        <f t="shared" si="116"/>
        <v>-7.275957614183426E-12</v>
      </c>
      <c r="X910" s="79">
        <f t="shared" si="116"/>
        <v>7706592.199999999</v>
      </c>
      <c r="Y910" s="29">
        <f t="shared" si="113"/>
        <v>5198563.800000001</v>
      </c>
    </row>
    <row r="911" spans="1:25" ht="37.5">
      <c r="A911" s="306"/>
      <c r="B911" s="293"/>
      <c r="C911" s="306"/>
      <c r="D911" s="297"/>
      <c r="E911" s="28" t="s">
        <v>764</v>
      </c>
      <c r="F911" s="28"/>
      <c r="G911" s="28"/>
      <c r="H911" s="28"/>
      <c r="I911" s="261">
        <v>3210</v>
      </c>
      <c r="J911" s="47">
        <v>40000</v>
      </c>
      <c r="K911" s="29"/>
      <c r="L911" s="29"/>
      <c r="M911" s="29"/>
      <c r="N911" s="29"/>
      <c r="O911" s="29">
        <v>40000</v>
      </c>
      <c r="P911" s="29"/>
      <c r="Q911" s="29"/>
      <c r="R911" s="29"/>
      <c r="S911" s="29"/>
      <c r="T911" s="29"/>
      <c r="U911" s="29">
        <f>40000-40000</f>
        <v>0</v>
      </c>
      <c r="V911" s="29"/>
      <c r="W911" s="29">
        <f t="shared" si="115"/>
        <v>0</v>
      </c>
      <c r="X911" s="29">
        <f>35740.38</f>
        <v>35740.38</v>
      </c>
      <c r="Y911" s="29">
        <f t="shared" si="113"/>
        <v>4259.620000000003</v>
      </c>
    </row>
    <row r="912" spans="1:25" ht="37.5">
      <c r="A912" s="306"/>
      <c r="B912" s="293"/>
      <c r="C912" s="306"/>
      <c r="D912" s="297"/>
      <c r="E912" s="28" t="s">
        <v>765</v>
      </c>
      <c r="F912" s="28"/>
      <c r="G912" s="28"/>
      <c r="H912" s="28"/>
      <c r="I912" s="261">
        <v>3210</v>
      </c>
      <c r="J912" s="47">
        <v>822089.48</v>
      </c>
      <c r="K912" s="29"/>
      <c r="L912" s="29"/>
      <c r="M912" s="29"/>
      <c r="N912" s="29"/>
      <c r="O912" s="29"/>
      <c r="P912" s="29"/>
      <c r="Q912" s="29"/>
      <c r="R912" s="29"/>
      <c r="S912" s="29"/>
      <c r="T912" s="29"/>
      <c r="U912" s="29"/>
      <c r="V912" s="29">
        <v>822089.48</v>
      </c>
      <c r="W912" s="29">
        <f t="shared" si="115"/>
        <v>0</v>
      </c>
      <c r="X912" s="29"/>
      <c r="Y912" s="29">
        <f t="shared" si="113"/>
        <v>0</v>
      </c>
    </row>
    <row r="913" spans="1:25" ht="108" hidden="1">
      <c r="A913" s="306"/>
      <c r="B913" s="293"/>
      <c r="C913" s="306"/>
      <c r="D913" s="297"/>
      <c r="E913" s="191" t="s">
        <v>807</v>
      </c>
      <c r="F913" s="191"/>
      <c r="G913" s="191"/>
      <c r="H913" s="191"/>
      <c r="I913" s="265">
        <v>3210</v>
      </c>
      <c r="J913" s="207">
        <f>150000-150000</f>
        <v>0</v>
      </c>
      <c r="K913" s="180"/>
      <c r="L913" s="180">
        <v>150000</v>
      </c>
      <c r="M913" s="180"/>
      <c r="N913" s="180"/>
      <c r="O913" s="180">
        <v>-150000</v>
      </c>
      <c r="P913" s="180"/>
      <c r="Q913" s="180">
        <f>150000-150000</f>
        <v>0</v>
      </c>
      <c r="R913" s="180"/>
      <c r="S913" s="180"/>
      <c r="T913" s="180"/>
      <c r="U913" s="180"/>
      <c r="V913" s="180"/>
      <c r="W913" s="29">
        <f t="shared" si="115"/>
        <v>0</v>
      </c>
      <c r="X913" s="29"/>
      <c r="Y913" s="29">
        <f t="shared" si="113"/>
        <v>0</v>
      </c>
    </row>
    <row r="914" spans="1:25" ht="126" hidden="1">
      <c r="A914" s="306"/>
      <c r="B914" s="293"/>
      <c r="C914" s="306"/>
      <c r="D914" s="297"/>
      <c r="E914" s="191" t="s">
        <v>128</v>
      </c>
      <c r="F914" s="191"/>
      <c r="G914" s="191"/>
      <c r="H914" s="191"/>
      <c r="I914" s="265">
        <v>3210</v>
      </c>
      <c r="J914" s="207">
        <f>150000-150000</f>
        <v>0</v>
      </c>
      <c r="K914" s="180"/>
      <c r="L914" s="180">
        <v>150000</v>
      </c>
      <c r="M914" s="180"/>
      <c r="N914" s="180"/>
      <c r="O914" s="180">
        <v>-150000</v>
      </c>
      <c r="P914" s="180"/>
      <c r="Q914" s="180">
        <f>150000-150000</f>
        <v>0</v>
      </c>
      <c r="R914" s="180"/>
      <c r="S914" s="180"/>
      <c r="T914" s="180"/>
      <c r="U914" s="180"/>
      <c r="V914" s="180"/>
      <c r="W914" s="29">
        <f t="shared" si="115"/>
        <v>0</v>
      </c>
      <c r="X914" s="29"/>
      <c r="Y914" s="29">
        <f t="shared" si="113"/>
        <v>0</v>
      </c>
    </row>
    <row r="915" spans="1:25" ht="75">
      <c r="A915" s="306"/>
      <c r="B915" s="293"/>
      <c r="C915" s="306"/>
      <c r="D915" s="297"/>
      <c r="E915" s="28" t="s">
        <v>862</v>
      </c>
      <c r="F915" s="28"/>
      <c r="G915" s="28"/>
      <c r="H915" s="28"/>
      <c r="I915" s="225">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5"/>
        <v>0</v>
      </c>
      <c r="X915" s="29"/>
      <c r="Y915" s="29">
        <f t="shared" si="113"/>
        <v>176964</v>
      </c>
    </row>
    <row r="916" spans="1:25" ht="75">
      <c r="A916" s="306"/>
      <c r="B916" s="293"/>
      <c r="C916" s="306"/>
      <c r="D916" s="297"/>
      <c r="E916" s="28" t="s">
        <v>144</v>
      </c>
      <c r="F916" s="28"/>
      <c r="G916" s="28"/>
      <c r="H916" s="28"/>
      <c r="I916" s="225">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5"/>
        <v>0</v>
      </c>
      <c r="X916" s="29"/>
      <c r="Y916" s="29">
        <f t="shared" si="113"/>
        <v>178021</v>
      </c>
    </row>
    <row r="917" spans="1:25" ht="72" hidden="1">
      <c r="A917" s="306"/>
      <c r="B917" s="293"/>
      <c r="C917" s="306"/>
      <c r="D917" s="297"/>
      <c r="E917" s="81" t="s">
        <v>359</v>
      </c>
      <c r="F917" s="81"/>
      <c r="G917" s="81"/>
      <c r="H917" s="81"/>
      <c r="I917" s="225">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9">
        <f t="shared" si="113"/>
        <v>0</v>
      </c>
    </row>
    <row r="918" spans="1:25" ht="93.75">
      <c r="A918" s="306"/>
      <c r="B918" s="293"/>
      <c r="C918" s="306"/>
      <c r="D918" s="297"/>
      <c r="E918" s="81" t="s">
        <v>412</v>
      </c>
      <c r="F918" s="81"/>
      <c r="G918" s="81"/>
      <c r="H918" s="81"/>
      <c r="I918" s="225">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9">
        <f t="shared" si="113"/>
        <v>232000</v>
      </c>
    </row>
    <row r="919" spans="1:25" ht="93.75">
      <c r="A919" s="306"/>
      <c r="B919" s="293"/>
      <c r="C919" s="306"/>
      <c r="D919" s="297"/>
      <c r="E919" s="81" t="s">
        <v>1046</v>
      </c>
      <c r="F919" s="81"/>
      <c r="G919" s="81"/>
      <c r="H919" s="81"/>
      <c r="I919" s="225">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9">
        <f t="shared" si="113"/>
        <v>232000</v>
      </c>
    </row>
    <row r="920" spans="1:25" ht="54" hidden="1">
      <c r="A920" s="306"/>
      <c r="B920" s="293"/>
      <c r="C920" s="306"/>
      <c r="D920" s="297"/>
      <c r="E920" s="81" t="s">
        <v>233</v>
      </c>
      <c r="F920" s="81"/>
      <c r="G920" s="81"/>
      <c r="H920" s="81"/>
      <c r="I920" s="225">
        <v>3210</v>
      </c>
      <c r="J920" s="47">
        <f>100000-100000</f>
        <v>0</v>
      </c>
      <c r="K920" s="29"/>
      <c r="L920" s="29"/>
      <c r="M920" s="29"/>
      <c r="N920" s="29">
        <v>50000</v>
      </c>
      <c r="O920" s="29">
        <v>-50000</v>
      </c>
      <c r="P920" s="29"/>
      <c r="Q920" s="29">
        <f>50000+50000-100000</f>
        <v>0</v>
      </c>
      <c r="R920" s="29"/>
      <c r="S920" s="29">
        <f>100000-100000</f>
        <v>0</v>
      </c>
      <c r="T920" s="29"/>
      <c r="U920" s="29"/>
      <c r="V920" s="29"/>
      <c r="W920" s="29">
        <f t="shared" si="115"/>
        <v>0</v>
      </c>
      <c r="X920" s="29"/>
      <c r="Y920" s="29">
        <f t="shared" si="113"/>
        <v>0</v>
      </c>
    </row>
    <row r="921" spans="1:25" ht="37.5">
      <c r="A921" s="306"/>
      <c r="B921" s="293"/>
      <c r="C921" s="306"/>
      <c r="D921" s="297"/>
      <c r="E921" s="28" t="s">
        <v>145</v>
      </c>
      <c r="F921" s="28"/>
      <c r="G921" s="28"/>
      <c r="H921" s="28"/>
      <c r="I921" s="225">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5"/>
        <v>0</v>
      </c>
      <c r="X921" s="29">
        <f>106936.09+2353585.21+1207956.56+346924.81+1920325.13+199140.84</f>
        <v>6134868.64</v>
      </c>
      <c r="Y921" s="29">
        <f t="shared" si="113"/>
        <v>3161887.3600000003</v>
      </c>
    </row>
    <row r="922" spans="1:25" ht="75">
      <c r="A922" s="306"/>
      <c r="B922" s="293"/>
      <c r="C922" s="306"/>
      <c r="D922" s="297"/>
      <c r="E922" s="28" t="s">
        <v>537</v>
      </c>
      <c r="F922" s="160"/>
      <c r="G922" s="114"/>
      <c r="H922" s="160"/>
      <c r="I922" s="225">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5"/>
        <v>0</v>
      </c>
      <c r="X922" s="29">
        <f>39172.21+232952.64</f>
        <v>272124.85000000003</v>
      </c>
      <c r="Y922" s="29">
        <f t="shared" si="113"/>
        <v>249875.14999999997</v>
      </c>
    </row>
    <row r="923" spans="1:25" ht="75">
      <c r="A923" s="306"/>
      <c r="B923" s="293"/>
      <c r="C923" s="306"/>
      <c r="D923" s="297"/>
      <c r="E923" s="28" t="s">
        <v>146</v>
      </c>
      <c r="F923" s="28"/>
      <c r="G923" s="28"/>
      <c r="H923" s="28"/>
      <c r="I923" s="225">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5"/>
        <v>0</v>
      </c>
      <c r="X923" s="29"/>
      <c r="Y923" s="29">
        <f t="shared" si="113"/>
        <v>68715</v>
      </c>
    </row>
    <row r="924" spans="1:25" ht="56.25">
      <c r="A924" s="306"/>
      <c r="B924" s="293"/>
      <c r="C924" s="306"/>
      <c r="D924" s="297"/>
      <c r="E924" s="28" t="s">
        <v>666</v>
      </c>
      <c r="F924" s="28"/>
      <c r="G924" s="28"/>
      <c r="H924" s="28"/>
      <c r="I924" s="225">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5"/>
        <v>-7.275957614183426E-12</v>
      </c>
      <c r="X924" s="29">
        <f>2803.5+28590.99+9972.16</f>
        <v>41366.65</v>
      </c>
      <c r="Y924" s="29">
        <f t="shared" si="113"/>
        <v>2633.350000000006</v>
      </c>
    </row>
    <row r="925" spans="1:25" ht="75">
      <c r="A925" s="306"/>
      <c r="B925" s="293"/>
      <c r="C925" s="306"/>
      <c r="D925" s="297"/>
      <c r="E925" s="28" t="s">
        <v>211</v>
      </c>
      <c r="F925" s="28"/>
      <c r="G925" s="28"/>
      <c r="H925" s="28"/>
      <c r="I925" s="225">
        <v>3210</v>
      </c>
      <c r="J925" s="47">
        <f>129200+13900</f>
        <v>143100</v>
      </c>
      <c r="K925" s="29"/>
      <c r="L925" s="29"/>
      <c r="M925" s="29">
        <v>64600</v>
      </c>
      <c r="N925" s="29"/>
      <c r="O925" s="29">
        <v>-64600</v>
      </c>
      <c r="P925" s="29"/>
      <c r="Q925" s="29">
        <v>64600</v>
      </c>
      <c r="R925" s="29">
        <f>64600+13900</f>
        <v>78500</v>
      </c>
      <c r="S925" s="29"/>
      <c r="T925" s="29"/>
      <c r="U925" s="29"/>
      <c r="V925" s="29"/>
      <c r="W925" s="29">
        <f t="shared" si="115"/>
        <v>0</v>
      </c>
      <c r="X925" s="29">
        <f>9009.25+103551.3</f>
        <v>112560.55</v>
      </c>
      <c r="Y925" s="29">
        <f t="shared" si="113"/>
        <v>30539.449999999997</v>
      </c>
    </row>
    <row r="926" spans="1:25" ht="75">
      <c r="A926" s="306"/>
      <c r="B926" s="293"/>
      <c r="C926" s="306"/>
      <c r="D926" s="297"/>
      <c r="E926" s="81" t="s">
        <v>750</v>
      </c>
      <c r="F926" s="81"/>
      <c r="G926" s="81"/>
      <c r="H926" s="81"/>
      <c r="I926" s="225">
        <v>3210</v>
      </c>
      <c r="J926" s="47">
        <f>200000+20300</f>
        <v>220300</v>
      </c>
      <c r="K926" s="29"/>
      <c r="L926" s="29"/>
      <c r="M926" s="29">
        <v>100000</v>
      </c>
      <c r="N926" s="29"/>
      <c r="O926" s="29">
        <v>-100000</v>
      </c>
      <c r="P926" s="29"/>
      <c r="Q926" s="29">
        <v>100000</v>
      </c>
      <c r="R926" s="29">
        <v>100000</v>
      </c>
      <c r="S926" s="29">
        <v>20300</v>
      </c>
      <c r="T926" s="29"/>
      <c r="U926" s="29"/>
      <c r="V926" s="29"/>
      <c r="W926" s="29">
        <f t="shared" si="115"/>
        <v>0</v>
      </c>
      <c r="X926" s="29">
        <f>12256.98+158947.75</f>
        <v>171204.73</v>
      </c>
      <c r="Y926" s="29">
        <f t="shared" si="113"/>
        <v>49095.26999999999</v>
      </c>
    </row>
    <row r="927" spans="1:25" ht="37.5">
      <c r="A927" s="306"/>
      <c r="B927" s="293"/>
      <c r="C927" s="306"/>
      <c r="D927" s="297"/>
      <c r="E927" s="81" t="s">
        <v>742</v>
      </c>
      <c r="F927" s="81"/>
      <c r="G927" s="81"/>
      <c r="H927" s="81"/>
      <c r="I927" s="225">
        <v>3210</v>
      </c>
      <c r="J927" s="47">
        <f>169000+20000</f>
        <v>189000</v>
      </c>
      <c r="K927" s="29"/>
      <c r="L927" s="29"/>
      <c r="M927" s="29">
        <v>84500</v>
      </c>
      <c r="N927" s="29"/>
      <c r="O927" s="29">
        <v>-84500</v>
      </c>
      <c r="P927" s="29"/>
      <c r="Q927" s="29">
        <f>84500+20000</f>
        <v>104500</v>
      </c>
      <c r="R927" s="29">
        <v>84500</v>
      </c>
      <c r="S927" s="29"/>
      <c r="T927" s="29"/>
      <c r="U927" s="29"/>
      <c r="V927" s="29"/>
      <c r="W927" s="29">
        <f t="shared" si="115"/>
        <v>0</v>
      </c>
      <c r="X927" s="29">
        <f>7380.16+164633.68</f>
        <v>172013.84</v>
      </c>
      <c r="Y927" s="29">
        <f t="shared" si="113"/>
        <v>16986.160000000003</v>
      </c>
    </row>
    <row r="928" spans="1:25" ht="56.25">
      <c r="A928" s="306"/>
      <c r="B928" s="293"/>
      <c r="C928" s="306"/>
      <c r="D928" s="297"/>
      <c r="E928" s="81" t="s">
        <v>743</v>
      </c>
      <c r="F928" s="81"/>
      <c r="G928" s="81"/>
      <c r="H928" s="81"/>
      <c r="I928" s="225">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5"/>
        <v>0</v>
      </c>
      <c r="X928" s="29">
        <f>9946.79+200576.42</f>
        <v>210523.21000000002</v>
      </c>
      <c r="Y928" s="29">
        <f t="shared" si="113"/>
        <v>38476.78999999998</v>
      </c>
    </row>
    <row r="929" spans="1:25" ht="56.25">
      <c r="A929" s="306"/>
      <c r="B929" s="293"/>
      <c r="C929" s="306"/>
      <c r="D929" s="297"/>
      <c r="E929" s="81" t="s">
        <v>744</v>
      </c>
      <c r="F929" s="81"/>
      <c r="G929" s="81"/>
      <c r="H929" s="81"/>
      <c r="I929" s="225">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5"/>
        <v>0</v>
      </c>
      <c r="X929" s="29">
        <f>23376.66+7494.53</f>
        <v>30871.19</v>
      </c>
      <c r="Y929" s="29">
        <f t="shared" si="113"/>
        <v>38128.81</v>
      </c>
    </row>
    <row r="930" spans="1:25" ht="56.25">
      <c r="A930" s="306"/>
      <c r="B930" s="293"/>
      <c r="C930" s="306"/>
      <c r="D930" s="297"/>
      <c r="E930" s="81" t="s">
        <v>147</v>
      </c>
      <c r="F930" s="81"/>
      <c r="G930" s="81"/>
      <c r="H930" s="81"/>
      <c r="I930" s="225">
        <v>3210</v>
      </c>
      <c r="J930" s="47">
        <f>169000+145000</f>
        <v>314000</v>
      </c>
      <c r="K930" s="29"/>
      <c r="L930" s="29"/>
      <c r="M930" s="29">
        <v>84500</v>
      </c>
      <c r="N930" s="29"/>
      <c r="O930" s="29">
        <v>-74003.51</v>
      </c>
      <c r="P930" s="29"/>
      <c r="Q930" s="29">
        <f>74003.51+145000</f>
        <v>219003.51</v>
      </c>
      <c r="R930" s="29">
        <v>84500</v>
      </c>
      <c r="S930" s="29"/>
      <c r="T930" s="29"/>
      <c r="U930" s="29"/>
      <c r="V930" s="29"/>
      <c r="W930" s="29">
        <f t="shared" si="115"/>
        <v>0</v>
      </c>
      <c r="X930" s="29">
        <f>10496.49+206441.35+77551.72</f>
        <v>294489.56</v>
      </c>
      <c r="Y930" s="29">
        <f t="shared" si="113"/>
        <v>19510.440000000002</v>
      </c>
    </row>
    <row r="931" spans="1:25" ht="56.25">
      <c r="A931" s="306"/>
      <c r="B931" s="293"/>
      <c r="C931" s="306"/>
      <c r="D931" s="297"/>
      <c r="E931" s="81" t="s">
        <v>854</v>
      </c>
      <c r="F931" s="81"/>
      <c r="G931" s="81"/>
      <c r="H931" s="81"/>
      <c r="I931" s="225">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5"/>
        <v>0</v>
      </c>
      <c r="X931" s="29">
        <f>95364.59+36148.42</f>
        <v>131513.01</v>
      </c>
      <c r="Y931" s="29">
        <f t="shared" si="113"/>
        <v>3586.9899999999907</v>
      </c>
    </row>
    <row r="932" spans="1:25" ht="43.5" customHeight="1">
      <c r="A932" s="306"/>
      <c r="B932" s="293"/>
      <c r="C932" s="306"/>
      <c r="D932" s="297"/>
      <c r="E932" s="81" t="s">
        <v>31</v>
      </c>
      <c r="F932" s="81"/>
      <c r="G932" s="81"/>
      <c r="H932" s="81"/>
      <c r="I932" s="225">
        <v>3210</v>
      </c>
      <c r="J932" s="47">
        <v>168000</v>
      </c>
      <c r="K932" s="29"/>
      <c r="L932" s="29"/>
      <c r="M932" s="29"/>
      <c r="N932" s="29"/>
      <c r="O932" s="29"/>
      <c r="P932" s="29"/>
      <c r="Q932" s="29">
        <v>84000</v>
      </c>
      <c r="R932" s="29"/>
      <c r="S932" s="29">
        <v>84000</v>
      </c>
      <c r="T932" s="29"/>
      <c r="U932" s="29"/>
      <c r="V932" s="29"/>
      <c r="W932" s="29">
        <f t="shared" si="115"/>
        <v>0</v>
      </c>
      <c r="X932" s="29"/>
      <c r="Y932" s="29">
        <f t="shared" si="113"/>
        <v>168000</v>
      </c>
    </row>
    <row r="933" spans="1:25" ht="54" hidden="1">
      <c r="A933" s="306"/>
      <c r="B933" s="293"/>
      <c r="C933" s="306"/>
      <c r="D933" s="297"/>
      <c r="E933" s="81" t="s">
        <v>847</v>
      </c>
      <c r="F933" s="81"/>
      <c r="G933" s="81"/>
      <c r="H933" s="81"/>
      <c r="I933" s="225">
        <v>3210</v>
      </c>
      <c r="J933" s="47">
        <f>232000-232000</f>
        <v>0</v>
      </c>
      <c r="K933" s="29"/>
      <c r="L933" s="29"/>
      <c r="M933" s="29"/>
      <c r="N933" s="29"/>
      <c r="O933" s="29"/>
      <c r="P933" s="29"/>
      <c r="Q933" s="29">
        <f>116000-116000</f>
        <v>0</v>
      </c>
      <c r="R933" s="29"/>
      <c r="S933" s="29">
        <f>116000+116000-232000</f>
        <v>0</v>
      </c>
      <c r="T933" s="29"/>
      <c r="U933" s="29"/>
      <c r="V933" s="29"/>
      <c r="W933" s="29">
        <f t="shared" si="115"/>
        <v>0</v>
      </c>
      <c r="X933" s="29"/>
      <c r="Y933" s="29">
        <f t="shared" si="113"/>
        <v>0</v>
      </c>
    </row>
    <row r="934" spans="1:25" ht="36" hidden="1">
      <c r="A934" s="306"/>
      <c r="B934" s="293"/>
      <c r="C934" s="306"/>
      <c r="D934" s="297"/>
      <c r="E934" s="81" t="s">
        <v>945</v>
      </c>
      <c r="F934" s="81"/>
      <c r="G934" s="81"/>
      <c r="H934" s="81"/>
      <c r="I934" s="225">
        <v>3210</v>
      </c>
      <c r="J934" s="47">
        <f>232000-232000</f>
        <v>0</v>
      </c>
      <c r="K934" s="29"/>
      <c r="L934" s="29"/>
      <c r="M934" s="29"/>
      <c r="N934" s="29"/>
      <c r="O934" s="29"/>
      <c r="P934" s="29"/>
      <c r="Q934" s="29">
        <f>116000-116000</f>
        <v>0</v>
      </c>
      <c r="R934" s="29"/>
      <c r="S934" s="29">
        <f>116000-116000</f>
        <v>0</v>
      </c>
      <c r="T934" s="29"/>
      <c r="U934" s="29"/>
      <c r="V934" s="29"/>
      <c r="W934" s="29">
        <f t="shared" si="115"/>
        <v>0</v>
      </c>
      <c r="X934" s="29"/>
      <c r="Y934" s="29">
        <f t="shared" si="113"/>
        <v>0</v>
      </c>
    </row>
    <row r="935" spans="1:25" ht="54" hidden="1">
      <c r="A935" s="306"/>
      <c r="B935" s="293"/>
      <c r="C935" s="306"/>
      <c r="D935" s="297"/>
      <c r="E935" s="81" t="s">
        <v>946</v>
      </c>
      <c r="F935" s="81"/>
      <c r="G935" s="81"/>
      <c r="H935" s="81"/>
      <c r="I935" s="225">
        <v>3210</v>
      </c>
      <c r="J935" s="47">
        <f>155000-155000</f>
        <v>0</v>
      </c>
      <c r="K935" s="29"/>
      <c r="L935" s="29"/>
      <c r="M935" s="29"/>
      <c r="N935" s="29"/>
      <c r="O935" s="29"/>
      <c r="P935" s="29"/>
      <c r="Q935" s="29">
        <f>77500-77500</f>
        <v>0</v>
      </c>
      <c r="R935" s="29"/>
      <c r="S935" s="29">
        <f>77500-77500</f>
        <v>0</v>
      </c>
      <c r="T935" s="29"/>
      <c r="U935" s="29"/>
      <c r="V935" s="29"/>
      <c r="W935" s="29">
        <f t="shared" si="115"/>
        <v>0</v>
      </c>
      <c r="X935" s="29"/>
      <c r="Y935" s="29">
        <f t="shared" si="113"/>
        <v>0</v>
      </c>
    </row>
    <row r="936" spans="1:25" ht="54" hidden="1">
      <c r="A936" s="306"/>
      <c r="B936" s="293"/>
      <c r="C936" s="306"/>
      <c r="D936" s="297"/>
      <c r="E936" s="81" t="s">
        <v>947</v>
      </c>
      <c r="F936" s="81"/>
      <c r="G936" s="81"/>
      <c r="H936" s="81"/>
      <c r="I936" s="225">
        <v>3210</v>
      </c>
      <c r="J936" s="47">
        <f>155000-155000</f>
        <v>0</v>
      </c>
      <c r="K936" s="29"/>
      <c r="L936" s="29"/>
      <c r="M936" s="29"/>
      <c r="N936" s="29"/>
      <c r="O936" s="29"/>
      <c r="P936" s="29"/>
      <c r="Q936" s="29">
        <f>77500-77500</f>
        <v>0</v>
      </c>
      <c r="R936" s="29"/>
      <c r="S936" s="29">
        <f>77500-77500</f>
        <v>0</v>
      </c>
      <c r="T936" s="29"/>
      <c r="U936" s="29"/>
      <c r="V936" s="29"/>
      <c r="W936" s="29">
        <f t="shared" si="115"/>
        <v>0</v>
      </c>
      <c r="X936" s="29"/>
      <c r="Y936" s="29">
        <f t="shared" si="113"/>
        <v>0</v>
      </c>
    </row>
    <row r="937" spans="1:25" ht="75">
      <c r="A937" s="306"/>
      <c r="B937" s="293"/>
      <c r="C937" s="306"/>
      <c r="D937" s="297"/>
      <c r="E937" s="81" t="s">
        <v>1162</v>
      </c>
      <c r="F937" s="81"/>
      <c r="G937" s="81"/>
      <c r="H937" s="81"/>
      <c r="I937" s="225">
        <v>3210</v>
      </c>
      <c r="J937" s="47">
        <f>100000+2000</f>
        <v>102000</v>
      </c>
      <c r="K937" s="29"/>
      <c r="L937" s="29"/>
      <c r="M937" s="29"/>
      <c r="N937" s="29"/>
      <c r="O937" s="29"/>
      <c r="P937" s="29"/>
      <c r="Q937" s="29">
        <f>50000+2000+50000</f>
        <v>102000</v>
      </c>
      <c r="R937" s="29"/>
      <c r="S937" s="29">
        <f>50000-50000</f>
        <v>0</v>
      </c>
      <c r="T937" s="29"/>
      <c r="U937" s="29"/>
      <c r="V937" s="29"/>
      <c r="W937" s="29">
        <f t="shared" si="115"/>
        <v>0</v>
      </c>
      <c r="X937" s="29">
        <f>4657.91+94657.68</f>
        <v>99315.59</v>
      </c>
      <c r="Y937" s="29">
        <f t="shared" si="113"/>
        <v>2684.4100000000035</v>
      </c>
    </row>
    <row r="938" spans="1:25" ht="75">
      <c r="A938" s="306"/>
      <c r="B938" s="293"/>
      <c r="C938" s="306"/>
      <c r="D938" s="297"/>
      <c r="E938" s="81" t="s">
        <v>918</v>
      </c>
      <c r="F938" s="81"/>
      <c r="G938" s="81"/>
      <c r="H938" s="81"/>
      <c r="I938" s="225">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9">
        <f t="shared" si="113"/>
        <v>231200</v>
      </c>
    </row>
    <row r="939" spans="1:25" ht="75">
      <c r="A939" s="306"/>
      <c r="B939" s="293"/>
      <c r="C939" s="306"/>
      <c r="D939" s="297"/>
      <c r="E939" s="81" t="s">
        <v>983</v>
      </c>
      <c r="F939" s="81"/>
      <c r="G939" s="81"/>
      <c r="H939" s="81"/>
      <c r="I939" s="225">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9">
        <f t="shared" si="113"/>
        <v>262000</v>
      </c>
    </row>
    <row r="940" spans="1:25" ht="75">
      <c r="A940" s="306"/>
      <c r="B940" s="293"/>
      <c r="C940" s="306"/>
      <c r="D940" s="297"/>
      <c r="E940" s="81" t="s">
        <v>917</v>
      </c>
      <c r="F940" s="81"/>
      <c r="G940" s="81"/>
      <c r="H940" s="81"/>
      <c r="I940" s="225">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9">
        <f t="shared" si="113"/>
        <v>32000</v>
      </c>
    </row>
    <row r="941" spans="1:25" ht="43.5" customHeight="1">
      <c r="A941" s="306"/>
      <c r="B941" s="293"/>
      <c r="C941" s="306"/>
      <c r="D941" s="297"/>
      <c r="E941" s="82" t="s">
        <v>710</v>
      </c>
      <c r="F941" s="82"/>
      <c r="G941" s="82"/>
      <c r="H941" s="82"/>
      <c r="I941" s="225"/>
      <c r="J941" s="79">
        <f>SUM(J942:J957)</f>
        <v>1300000</v>
      </c>
      <c r="K941" s="79">
        <f aca="true" t="shared" si="117" ref="K941:X941">SUM(K942:K957)</f>
        <v>0</v>
      </c>
      <c r="L941" s="79">
        <f t="shared" si="117"/>
        <v>0</v>
      </c>
      <c r="M941" s="79">
        <f t="shared" si="117"/>
        <v>0</v>
      </c>
      <c r="N941" s="79">
        <f t="shared" si="117"/>
        <v>15000</v>
      </c>
      <c r="O941" s="79">
        <f t="shared" si="117"/>
        <v>0</v>
      </c>
      <c r="P941" s="79">
        <f t="shared" si="117"/>
        <v>0</v>
      </c>
      <c r="Q941" s="79">
        <f t="shared" si="117"/>
        <v>80000</v>
      </c>
      <c r="R941" s="79">
        <f t="shared" si="117"/>
        <v>299505.89</v>
      </c>
      <c r="S941" s="79">
        <f t="shared" si="117"/>
        <v>600494.11</v>
      </c>
      <c r="T941" s="79">
        <f t="shared" si="117"/>
        <v>0</v>
      </c>
      <c r="U941" s="79">
        <f t="shared" si="117"/>
        <v>100000</v>
      </c>
      <c r="V941" s="79">
        <f t="shared" si="117"/>
        <v>205000</v>
      </c>
      <c r="W941" s="79">
        <f t="shared" si="117"/>
        <v>0</v>
      </c>
      <c r="X941" s="79">
        <f t="shared" si="117"/>
        <v>551453.5</v>
      </c>
      <c r="Y941" s="29">
        <f t="shared" si="113"/>
        <v>443546.5</v>
      </c>
    </row>
    <row r="942" spans="1:25" ht="37.5">
      <c r="A942" s="306"/>
      <c r="B942" s="293"/>
      <c r="C942" s="306"/>
      <c r="D942" s="297"/>
      <c r="E942" s="81" t="s">
        <v>984</v>
      </c>
      <c r="F942" s="81"/>
      <c r="G942" s="81"/>
      <c r="H942" s="81"/>
      <c r="I942" s="225">
        <v>3210</v>
      </c>
      <c r="J942" s="47">
        <v>80000</v>
      </c>
      <c r="K942" s="29"/>
      <c r="L942" s="29"/>
      <c r="M942" s="29"/>
      <c r="N942" s="29"/>
      <c r="O942" s="29"/>
      <c r="P942" s="29"/>
      <c r="Q942" s="29">
        <v>80000</v>
      </c>
      <c r="R942" s="29"/>
      <c r="S942" s="29"/>
      <c r="T942" s="29"/>
      <c r="U942" s="29"/>
      <c r="V942" s="29"/>
      <c r="W942" s="29">
        <f t="shared" si="115"/>
        <v>0</v>
      </c>
      <c r="X942" s="29">
        <v>80000</v>
      </c>
      <c r="Y942" s="29">
        <f t="shared" si="113"/>
        <v>0</v>
      </c>
    </row>
    <row r="943" spans="1:25" ht="37.5">
      <c r="A943" s="306"/>
      <c r="B943" s="293"/>
      <c r="C943" s="306"/>
      <c r="D943" s="297"/>
      <c r="E943" s="81" t="s">
        <v>985</v>
      </c>
      <c r="F943" s="81"/>
      <c r="G943" s="81"/>
      <c r="H943" s="81"/>
      <c r="I943" s="225">
        <v>3210</v>
      </c>
      <c r="J943" s="47">
        <v>15000</v>
      </c>
      <c r="K943" s="29"/>
      <c r="L943" s="29"/>
      <c r="M943" s="29"/>
      <c r="N943" s="29">
        <v>15000</v>
      </c>
      <c r="O943" s="29"/>
      <c r="P943" s="29"/>
      <c r="Q943" s="29"/>
      <c r="R943" s="29"/>
      <c r="S943" s="29"/>
      <c r="T943" s="29"/>
      <c r="U943" s="29"/>
      <c r="V943" s="29"/>
      <c r="W943" s="29">
        <f t="shared" si="115"/>
        <v>0</v>
      </c>
      <c r="X943" s="29">
        <v>14790</v>
      </c>
      <c r="Y943" s="29">
        <f t="shared" si="113"/>
        <v>210</v>
      </c>
    </row>
    <row r="944" spans="1:25" ht="37.5">
      <c r="A944" s="306"/>
      <c r="B944" s="293"/>
      <c r="C944" s="306"/>
      <c r="D944" s="297"/>
      <c r="E944" s="81" t="s">
        <v>986</v>
      </c>
      <c r="F944" s="81"/>
      <c r="G944" s="81"/>
      <c r="H944" s="81"/>
      <c r="I944" s="225">
        <v>3210</v>
      </c>
      <c r="J944" s="47">
        <v>10000</v>
      </c>
      <c r="K944" s="29"/>
      <c r="L944" s="29"/>
      <c r="M944" s="29"/>
      <c r="N944" s="29"/>
      <c r="O944" s="29"/>
      <c r="P944" s="29"/>
      <c r="Q944" s="29"/>
      <c r="R944" s="29"/>
      <c r="S944" s="29"/>
      <c r="T944" s="29"/>
      <c r="U944" s="29"/>
      <c r="V944" s="29">
        <v>10000</v>
      </c>
      <c r="W944" s="29">
        <f t="shared" si="115"/>
        <v>0</v>
      </c>
      <c r="X944" s="29"/>
      <c r="Y944" s="29">
        <f t="shared" si="113"/>
        <v>0</v>
      </c>
    </row>
    <row r="945" spans="1:25" ht="18.75">
      <c r="A945" s="306"/>
      <c r="B945" s="293"/>
      <c r="C945" s="306"/>
      <c r="D945" s="297"/>
      <c r="E945" s="81" t="s">
        <v>520</v>
      </c>
      <c r="F945" s="81"/>
      <c r="G945" s="81"/>
      <c r="H945" s="81"/>
      <c r="I945" s="225">
        <v>3210</v>
      </c>
      <c r="J945" s="47">
        <v>7000</v>
      </c>
      <c r="K945" s="29"/>
      <c r="L945" s="29"/>
      <c r="M945" s="29"/>
      <c r="N945" s="29"/>
      <c r="O945" s="29"/>
      <c r="P945" s="29"/>
      <c r="Q945" s="29"/>
      <c r="R945" s="29"/>
      <c r="S945" s="29"/>
      <c r="T945" s="29"/>
      <c r="U945" s="29"/>
      <c r="V945" s="29">
        <v>7000</v>
      </c>
      <c r="W945" s="29">
        <f t="shared" si="115"/>
        <v>0</v>
      </c>
      <c r="X945" s="29"/>
      <c r="Y945" s="29">
        <f t="shared" si="113"/>
        <v>0</v>
      </c>
    </row>
    <row r="946" spans="1:25" ht="18.75">
      <c r="A946" s="306"/>
      <c r="B946" s="293"/>
      <c r="C946" s="306"/>
      <c r="D946" s="297"/>
      <c r="E946" s="81" t="s">
        <v>521</v>
      </c>
      <c r="F946" s="81"/>
      <c r="G946" s="81"/>
      <c r="H946" s="81"/>
      <c r="I946" s="225">
        <v>3210</v>
      </c>
      <c r="J946" s="47">
        <v>7000</v>
      </c>
      <c r="K946" s="29"/>
      <c r="L946" s="29"/>
      <c r="M946" s="29"/>
      <c r="N946" s="29"/>
      <c r="O946" s="29"/>
      <c r="P946" s="29"/>
      <c r="Q946" s="29"/>
      <c r="R946" s="29"/>
      <c r="S946" s="29"/>
      <c r="T946" s="29"/>
      <c r="U946" s="29"/>
      <c r="V946" s="29">
        <v>7000</v>
      </c>
      <c r="W946" s="29">
        <f t="shared" si="115"/>
        <v>0</v>
      </c>
      <c r="X946" s="29"/>
      <c r="Y946" s="29">
        <f t="shared" si="113"/>
        <v>0</v>
      </c>
    </row>
    <row r="947" spans="1:25" ht="37.5">
      <c r="A947" s="306"/>
      <c r="B947" s="293"/>
      <c r="C947" s="306"/>
      <c r="D947" s="297"/>
      <c r="E947" s="81" t="s">
        <v>804</v>
      </c>
      <c r="F947" s="81"/>
      <c r="G947" s="81"/>
      <c r="H947" s="81"/>
      <c r="I947" s="225">
        <v>3210</v>
      </c>
      <c r="J947" s="47">
        <v>81000</v>
      </c>
      <c r="K947" s="29"/>
      <c r="L947" s="29"/>
      <c r="M947" s="29"/>
      <c r="N947" s="29"/>
      <c r="O947" s="29"/>
      <c r="P947" s="29"/>
      <c r="Q947" s="29"/>
      <c r="R947" s="29"/>
      <c r="S947" s="29"/>
      <c r="T947" s="29"/>
      <c r="U947" s="29"/>
      <c r="V947" s="29">
        <v>81000</v>
      </c>
      <c r="W947" s="29">
        <f t="shared" si="115"/>
        <v>0</v>
      </c>
      <c r="X947" s="29"/>
      <c r="Y947" s="29">
        <f t="shared" si="113"/>
        <v>0</v>
      </c>
    </row>
    <row r="948" spans="1:25" ht="56.25">
      <c r="A948" s="306"/>
      <c r="B948" s="293"/>
      <c r="C948" s="306"/>
      <c r="D948" s="297"/>
      <c r="E948" s="81" t="s">
        <v>134</v>
      </c>
      <c r="F948" s="81"/>
      <c r="G948" s="81"/>
      <c r="H948" s="81"/>
      <c r="I948" s="225">
        <v>3210</v>
      </c>
      <c r="J948" s="47">
        <v>700000</v>
      </c>
      <c r="K948" s="29"/>
      <c r="L948" s="29"/>
      <c r="M948" s="29"/>
      <c r="N948" s="29"/>
      <c r="O948" s="29"/>
      <c r="P948" s="29"/>
      <c r="Q948" s="29"/>
      <c r="R948" s="29">
        <v>149505.89</v>
      </c>
      <c r="S948" s="29">
        <v>550494.11</v>
      </c>
      <c r="T948" s="29"/>
      <c r="U948" s="29"/>
      <c r="V948" s="29">
        <f>700000-700000</f>
        <v>0</v>
      </c>
      <c r="W948" s="29">
        <f t="shared" si="115"/>
        <v>0</v>
      </c>
      <c r="X948" s="29">
        <f>280161.8+77123.2</f>
        <v>357285</v>
      </c>
      <c r="Y948" s="29">
        <f t="shared" si="113"/>
        <v>342715</v>
      </c>
    </row>
    <row r="949" spans="1:25" ht="36" hidden="1">
      <c r="A949" s="306"/>
      <c r="B949" s="293"/>
      <c r="C949" s="306"/>
      <c r="D949" s="297"/>
      <c r="E949" s="81" t="s">
        <v>978</v>
      </c>
      <c r="F949" s="81"/>
      <c r="G949" s="81"/>
      <c r="H949" s="81"/>
      <c r="I949" s="225">
        <v>3210</v>
      </c>
      <c r="J949" s="47">
        <f>50000-50000</f>
        <v>0</v>
      </c>
      <c r="K949" s="29"/>
      <c r="L949" s="29"/>
      <c r="M949" s="29"/>
      <c r="N949" s="29"/>
      <c r="O949" s="29"/>
      <c r="P949" s="29"/>
      <c r="Q949" s="29"/>
      <c r="R949" s="29"/>
      <c r="S949" s="29"/>
      <c r="T949" s="29"/>
      <c r="U949" s="29">
        <f>50000-50000</f>
        <v>0</v>
      </c>
      <c r="V949" s="29"/>
      <c r="W949" s="29">
        <f t="shared" si="115"/>
        <v>0</v>
      </c>
      <c r="X949" s="29"/>
      <c r="Y949" s="29">
        <f t="shared" si="113"/>
        <v>0</v>
      </c>
    </row>
    <row r="950" spans="1:25" ht="56.25">
      <c r="A950" s="306"/>
      <c r="B950" s="293"/>
      <c r="C950" s="306"/>
      <c r="D950" s="297"/>
      <c r="E950" s="81" t="s">
        <v>979</v>
      </c>
      <c r="F950" s="81"/>
      <c r="G950" s="81"/>
      <c r="H950" s="81"/>
      <c r="I950" s="225">
        <v>3210</v>
      </c>
      <c r="J950" s="47">
        <v>50000</v>
      </c>
      <c r="K950" s="29"/>
      <c r="L950" s="29"/>
      <c r="M950" s="29"/>
      <c r="N950" s="29"/>
      <c r="O950" s="29"/>
      <c r="P950" s="29"/>
      <c r="Q950" s="29"/>
      <c r="R950" s="29"/>
      <c r="S950" s="29"/>
      <c r="T950" s="29"/>
      <c r="U950" s="29">
        <v>50000</v>
      </c>
      <c r="V950" s="29"/>
      <c r="W950" s="29">
        <f t="shared" si="115"/>
        <v>0</v>
      </c>
      <c r="X950" s="29"/>
      <c r="Y950" s="29">
        <f t="shared" si="113"/>
        <v>0</v>
      </c>
    </row>
    <row r="951" spans="1:25" ht="56.25">
      <c r="A951" s="306"/>
      <c r="B951" s="293"/>
      <c r="C951" s="306"/>
      <c r="D951" s="297"/>
      <c r="E951" s="81" t="s">
        <v>975</v>
      </c>
      <c r="F951" s="81"/>
      <c r="G951" s="81"/>
      <c r="H951" s="81"/>
      <c r="I951" s="225">
        <v>3210</v>
      </c>
      <c r="J951" s="47">
        <v>50000</v>
      </c>
      <c r="K951" s="29"/>
      <c r="L951" s="29"/>
      <c r="M951" s="29"/>
      <c r="N951" s="29"/>
      <c r="O951" s="29"/>
      <c r="P951" s="29"/>
      <c r="Q951" s="29"/>
      <c r="R951" s="29"/>
      <c r="S951" s="29"/>
      <c r="T951" s="29"/>
      <c r="U951" s="29">
        <v>50000</v>
      </c>
      <c r="V951" s="29"/>
      <c r="W951" s="29">
        <f t="shared" si="115"/>
        <v>0</v>
      </c>
      <c r="X951" s="29"/>
      <c r="Y951" s="29">
        <f t="shared" si="113"/>
        <v>0</v>
      </c>
    </row>
    <row r="952" spans="1:25" ht="56.25">
      <c r="A952" s="306"/>
      <c r="B952" s="293"/>
      <c r="C952" s="306"/>
      <c r="D952" s="297"/>
      <c r="E952" s="81" t="s">
        <v>976</v>
      </c>
      <c r="F952" s="81"/>
      <c r="G952" s="81"/>
      <c r="H952" s="81"/>
      <c r="I952" s="225">
        <v>3210</v>
      </c>
      <c r="J952" s="47">
        <v>50000</v>
      </c>
      <c r="K952" s="29"/>
      <c r="L952" s="29"/>
      <c r="M952" s="29"/>
      <c r="N952" s="29"/>
      <c r="O952" s="29"/>
      <c r="P952" s="29"/>
      <c r="Q952" s="29"/>
      <c r="R952" s="29">
        <v>50000</v>
      </c>
      <c r="S952" s="29"/>
      <c r="T952" s="29"/>
      <c r="U952" s="29"/>
      <c r="V952" s="29"/>
      <c r="W952" s="29">
        <f t="shared" si="115"/>
        <v>0</v>
      </c>
      <c r="X952" s="29">
        <f>2566.2+21262.6</f>
        <v>23828.8</v>
      </c>
      <c r="Y952" s="29">
        <f t="shared" si="113"/>
        <v>26171.2</v>
      </c>
    </row>
    <row r="953" spans="1:25" ht="75">
      <c r="A953" s="306"/>
      <c r="B953" s="293"/>
      <c r="C953" s="306"/>
      <c r="D953" s="297"/>
      <c r="E953" s="81" t="s">
        <v>669</v>
      </c>
      <c r="F953" s="81"/>
      <c r="G953" s="81"/>
      <c r="H953" s="81"/>
      <c r="I953" s="225">
        <v>3210</v>
      </c>
      <c r="J953" s="47">
        <v>50000</v>
      </c>
      <c r="K953" s="29"/>
      <c r="L953" s="29"/>
      <c r="M953" s="29"/>
      <c r="N953" s="29"/>
      <c r="O953" s="29"/>
      <c r="P953" s="29"/>
      <c r="Q953" s="29"/>
      <c r="R953" s="29">
        <v>50000</v>
      </c>
      <c r="S953" s="29"/>
      <c r="T953" s="29"/>
      <c r="U953" s="29"/>
      <c r="V953" s="29"/>
      <c r="W953" s="29">
        <f t="shared" si="115"/>
        <v>0</v>
      </c>
      <c r="X953" s="29">
        <f>2231.2+12337.1</f>
        <v>14568.3</v>
      </c>
      <c r="Y953" s="29">
        <f t="shared" si="113"/>
        <v>35431.7</v>
      </c>
    </row>
    <row r="954" spans="1:25" ht="56.25">
      <c r="A954" s="306"/>
      <c r="B954" s="293"/>
      <c r="C954" s="306"/>
      <c r="D954" s="297"/>
      <c r="E954" s="81" t="s">
        <v>317</v>
      </c>
      <c r="F954" s="81"/>
      <c r="G954" s="81"/>
      <c r="H954" s="81"/>
      <c r="I954" s="225">
        <v>3210</v>
      </c>
      <c r="J954" s="47">
        <v>50000</v>
      </c>
      <c r="K954" s="29"/>
      <c r="L954" s="29"/>
      <c r="M954" s="29"/>
      <c r="N954" s="29"/>
      <c r="O954" s="29"/>
      <c r="P954" s="29"/>
      <c r="Q954" s="29"/>
      <c r="R954" s="29">
        <v>50000</v>
      </c>
      <c r="S954" s="29"/>
      <c r="T954" s="29"/>
      <c r="U954" s="29"/>
      <c r="V954" s="29"/>
      <c r="W954" s="29">
        <f t="shared" si="115"/>
        <v>0</v>
      </c>
      <c r="X954" s="29">
        <f>2636.2+21262.6</f>
        <v>23898.8</v>
      </c>
      <c r="Y954" s="29">
        <f t="shared" si="113"/>
        <v>26101.2</v>
      </c>
    </row>
    <row r="955" spans="1:25" ht="75">
      <c r="A955" s="306"/>
      <c r="B955" s="293"/>
      <c r="C955" s="306"/>
      <c r="D955" s="297"/>
      <c r="E955" s="81" t="s">
        <v>161</v>
      </c>
      <c r="F955" s="81"/>
      <c r="G955" s="81"/>
      <c r="H955" s="81"/>
      <c r="I955" s="225">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9">
        <f t="shared" si="113"/>
        <v>0</v>
      </c>
    </row>
    <row r="956" spans="1:25" ht="75">
      <c r="A956" s="306"/>
      <c r="B956" s="293"/>
      <c r="C956" s="306"/>
      <c r="D956" s="297"/>
      <c r="E956" s="81" t="s">
        <v>601</v>
      </c>
      <c r="F956" s="81"/>
      <c r="G956" s="81"/>
      <c r="H956" s="81"/>
      <c r="I956" s="225">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9">
        <f t="shared" si="113"/>
        <v>0</v>
      </c>
    </row>
    <row r="957" spans="1:25" ht="56.25">
      <c r="A957" s="306"/>
      <c r="B957" s="293"/>
      <c r="C957" s="306"/>
      <c r="D957" s="297"/>
      <c r="E957" s="81" t="s">
        <v>966</v>
      </c>
      <c r="F957" s="81"/>
      <c r="G957" s="81"/>
      <c r="H957" s="81"/>
      <c r="I957" s="225">
        <v>3210</v>
      </c>
      <c r="J957" s="47">
        <v>50000</v>
      </c>
      <c r="K957" s="29"/>
      <c r="L957" s="29"/>
      <c r="M957" s="29"/>
      <c r="N957" s="29"/>
      <c r="O957" s="29"/>
      <c r="P957" s="29"/>
      <c r="Q957" s="29"/>
      <c r="R957" s="29"/>
      <c r="S957" s="29">
        <v>50000</v>
      </c>
      <c r="T957" s="29"/>
      <c r="U957" s="29"/>
      <c r="V957" s="29"/>
      <c r="W957" s="29">
        <f t="shared" si="115"/>
        <v>0</v>
      </c>
      <c r="X957" s="29">
        <f>3021.2+34061.4</f>
        <v>37082.6</v>
      </c>
      <c r="Y957" s="29">
        <f t="shared" si="113"/>
        <v>12917.400000000001</v>
      </c>
    </row>
    <row r="958" spans="1:25" ht="56.25">
      <c r="A958" s="306"/>
      <c r="B958" s="293"/>
      <c r="C958" s="306"/>
      <c r="D958" s="297"/>
      <c r="E958" s="30" t="s">
        <v>967</v>
      </c>
      <c r="F958" s="30"/>
      <c r="G958" s="30"/>
      <c r="H958" s="30"/>
      <c r="I958" s="225"/>
      <c r="J958" s="79">
        <f>SUM(J959:J961)</f>
        <v>494566</v>
      </c>
      <c r="K958" s="79">
        <f aca="true" t="shared" si="118" ref="K958:X958">SUM(K959:K961)</f>
        <v>0</v>
      </c>
      <c r="L958" s="79">
        <f t="shared" si="118"/>
        <v>0</v>
      </c>
      <c r="M958" s="79">
        <f t="shared" si="118"/>
        <v>342781</v>
      </c>
      <c r="N958" s="79">
        <f t="shared" si="118"/>
        <v>240000</v>
      </c>
      <c r="O958" s="79">
        <f t="shared" si="118"/>
        <v>147917</v>
      </c>
      <c r="P958" s="79">
        <f t="shared" si="118"/>
        <v>-240000</v>
      </c>
      <c r="Q958" s="79">
        <f t="shared" si="118"/>
        <v>0</v>
      </c>
      <c r="R958" s="79">
        <f t="shared" si="118"/>
        <v>0</v>
      </c>
      <c r="S958" s="79">
        <f t="shared" si="118"/>
        <v>0</v>
      </c>
      <c r="T958" s="79">
        <f t="shared" si="118"/>
        <v>3868</v>
      </c>
      <c r="U958" s="79">
        <f t="shared" si="118"/>
        <v>0</v>
      </c>
      <c r="V958" s="79">
        <f t="shared" si="118"/>
        <v>0</v>
      </c>
      <c r="W958" s="79">
        <f t="shared" si="118"/>
        <v>0</v>
      </c>
      <c r="X958" s="79">
        <f t="shared" si="118"/>
        <v>465023.22</v>
      </c>
      <c r="Y958" s="29">
        <f t="shared" si="113"/>
        <v>29542.780000000028</v>
      </c>
    </row>
    <row r="959" spans="1:25" ht="62.25" customHeight="1">
      <c r="A959" s="306"/>
      <c r="B959" s="293"/>
      <c r="C959" s="306"/>
      <c r="D959" s="297"/>
      <c r="E959" s="28" t="s">
        <v>390</v>
      </c>
      <c r="F959" s="28"/>
      <c r="G959" s="28"/>
      <c r="H959" s="28"/>
      <c r="I959" s="225">
        <v>3210</v>
      </c>
      <c r="J959" s="47">
        <f>447917+25695</f>
        <v>473612</v>
      </c>
      <c r="K959" s="29"/>
      <c r="L959" s="29"/>
      <c r="M959" s="29">
        <v>300000</v>
      </c>
      <c r="N959" s="29"/>
      <c r="O959" s="29">
        <v>147917</v>
      </c>
      <c r="P959" s="29"/>
      <c r="Q959" s="29"/>
      <c r="R959" s="29"/>
      <c r="S959" s="29"/>
      <c r="T959" s="29">
        <f>25695</f>
        <v>25695</v>
      </c>
      <c r="U959" s="29"/>
      <c r="V959" s="29"/>
      <c r="W959" s="29">
        <f t="shared" si="115"/>
        <v>0</v>
      </c>
      <c r="X959" s="29">
        <f>72078+366896.22+5095</f>
        <v>444069.22</v>
      </c>
      <c r="Y959" s="29">
        <f t="shared" si="113"/>
        <v>29542.780000000028</v>
      </c>
    </row>
    <row r="960" spans="1:25" ht="62.25" customHeight="1" hidden="1">
      <c r="A960" s="306"/>
      <c r="B960" s="293"/>
      <c r="C960" s="306"/>
      <c r="D960" s="297"/>
      <c r="E960" s="28" t="s">
        <v>529</v>
      </c>
      <c r="F960" s="28"/>
      <c r="G960" s="28"/>
      <c r="H960" s="28"/>
      <c r="I960" s="225">
        <v>3210</v>
      </c>
      <c r="J960" s="47">
        <f>240000-240000</f>
        <v>0</v>
      </c>
      <c r="K960" s="29"/>
      <c r="L960" s="29"/>
      <c r="M960" s="29"/>
      <c r="N960" s="29">
        <v>240000</v>
      </c>
      <c r="O960" s="29"/>
      <c r="P960" s="29">
        <v>-240000</v>
      </c>
      <c r="Q960" s="29"/>
      <c r="R960" s="29"/>
      <c r="S960" s="29"/>
      <c r="T960" s="29"/>
      <c r="U960" s="29"/>
      <c r="V960" s="29">
        <f>240000-240000</f>
        <v>0</v>
      </c>
      <c r="W960" s="29">
        <f t="shared" si="115"/>
        <v>0</v>
      </c>
      <c r="X960" s="29"/>
      <c r="Y960" s="29">
        <f aca="true" t="shared" si="119" ref="Y960:Y1028">K960+L960+M960+N960+O960+P960+Q960+R960+S960+T960-X960</f>
        <v>0</v>
      </c>
    </row>
    <row r="961" spans="1:25" ht="62.25" customHeight="1">
      <c r="A961" s="306"/>
      <c r="B961" s="293"/>
      <c r="C961" s="306"/>
      <c r="D961" s="297"/>
      <c r="E961" s="28" t="s">
        <v>392</v>
      </c>
      <c r="F961" s="28"/>
      <c r="G961" s="28"/>
      <c r="H961" s="28"/>
      <c r="I961" s="225">
        <v>3210</v>
      </c>
      <c r="J961" s="47">
        <f>42781-21827</f>
        <v>20954</v>
      </c>
      <c r="K961" s="29"/>
      <c r="L961" s="29"/>
      <c r="M961" s="29">
        <v>42781</v>
      </c>
      <c r="N961" s="29"/>
      <c r="O961" s="29"/>
      <c r="P961" s="29"/>
      <c r="Q961" s="29"/>
      <c r="R961" s="29"/>
      <c r="S961" s="29"/>
      <c r="T961" s="29">
        <v>-21827</v>
      </c>
      <c r="U961" s="29"/>
      <c r="V961" s="29"/>
      <c r="W961" s="29">
        <f t="shared" si="115"/>
        <v>0</v>
      </c>
      <c r="X961" s="29">
        <v>20954</v>
      </c>
      <c r="Y961" s="29">
        <f t="shared" si="119"/>
        <v>0</v>
      </c>
    </row>
    <row r="962" spans="1:25" ht="56.25">
      <c r="A962" s="306"/>
      <c r="B962" s="293"/>
      <c r="C962" s="306"/>
      <c r="D962" s="297"/>
      <c r="E962" s="30" t="s">
        <v>416</v>
      </c>
      <c r="F962" s="30"/>
      <c r="G962" s="30"/>
      <c r="H962" s="30"/>
      <c r="I962" s="225"/>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9">
        <f t="shared" si="119"/>
        <v>977289.84</v>
      </c>
    </row>
    <row r="963" spans="1:25" ht="54" hidden="1">
      <c r="A963" s="306"/>
      <c r="B963" s="293"/>
      <c r="C963" s="306"/>
      <c r="D963" s="297"/>
      <c r="E963" s="28" t="s">
        <v>393</v>
      </c>
      <c r="F963" s="28"/>
      <c r="G963" s="28"/>
      <c r="H963" s="28"/>
      <c r="I963" s="225">
        <v>3210</v>
      </c>
      <c r="J963" s="47">
        <f>460500-460500</f>
        <v>0</v>
      </c>
      <c r="K963" s="29"/>
      <c r="L963" s="29"/>
      <c r="M963" s="29"/>
      <c r="N963" s="29">
        <v>100000</v>
      </c>
      <c r="O963" s="29"/>
      <c r="P963" s="29"/>
      <c r="Q963" s="29"/>
      <c r="R963" s="182"/>
      <c r="S963" s="182"/>
      <c r="T963" s="182">
        <v>-100000</v>
      </c>
      <c r="U963" s="182"/>
      <c r="V963" s="182">
        <f>460500-100000-360500</f>
        <v>0</v>
      </c>
      <c r="W963" s="29">
        <f t="shared" si="115"/>
        <v>0</v>
      </c>
      <c r="X963" s="29"/>
      <c r="Y963" s="29">
        <f t="shared" si="119"/>
        <v>0</v>
      </c>
    </row>
    <row r="964" spans="1:25" ht="37.5">
      <c r="A964" s="306"/>
      <c r="B964" s="293"/>
      <c r="C964" s="306"/>
      <c r="D964" s="297"/>
      <c r="E964" s="28" t="s">
        <v>155</v>
      </c>
      <c r="F964" s="28"/>
      <c r="G964" s="28"/>
      <c r="H964" s="28"/>
      <c r="I964" s="225">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9">
        <f t="shared" si="119"/>
        <v>477000</v>
      </c>
    </row>
    <row r="965" spans="1:25" ht="37.5">
      <c r="A965" s="306"/>
      <c r="B965" s="293"/>
      <c r="C965" s="306"/>
      <c r="D965" s="297"/>
      <c r="E965" s="28" t="s">
        <v>960</v>
      </c>
      <c r="F965" s="28"/>
      <c r="G965" s="28"/>
      <c r="H965" s="28"/>
      <c r="I965" s="225">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5"/>
        <v>0</v>
      </c>
      <c r="X965" s="29">
        <f>69874.16+3836+18388.8-18388.8</f>
        <v>73710.16</v>
      </c>
      <c r="Y965" s="29">
        <f t="shared" si="119"/>
        <v>500289.83999999997</v>
      </c>
    </row>
    <row r="966" spans="1:25" ht="37.5">
      <c r="A966" s="306"/>
      <c r="B966" s="293"/>
      <c r="C966" s="306"/>
      <c r="D966" s="297"/>
      <c r="E966" s="59" t="s">
        <v>654</v>
      </c>
      <c r="F966" s="59"/>
      <c r="G966" s="59"/>
      <c r="H966" s="59"/>
      <c r="I966" s="225"/>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1454942.49</v>
      </c>
      <c r="U966" s="60">
        <f t="shared" si="121"/>
        <v>0</v>
      </c>
      <c r="V966" s="60">
        <f t="shared" si="121"/>
        <v>3547279.5100000002</v>
      </c>
      <c r="W966" s="60">
        <f t="shared" si="121"/>
        <v>2.3374013835564256E-10</v>
      </c>
      <c r="X966" s="60">
        <f t="shared" si="121"/>
        <v>8156152.9</v>
      </c>
      <c r="Y966" s="29">
        <f t="shared" si="119"/>
        <v>2880167.59</v>
      </c>
    </row>
    <row r="967" spans="1:25" ht="18.75">
      <c r="A967" s="306"/>
      <c r="B967" s="293"/>
      <c r="C967" s="306"/>
      <c r="D967" s="297"/>
      <c r="E967" s="174" t="s">
        <v>1125</v>
      </c>
      <c r="F967" s="61"/>
      <c r="G967" s="61"/>
      <c r="H967" s="61"/>
      <c r="I967" s="225">
        <v>3210</v>
      </c>
      <c r="J967" s="54">
        <v>48000</v>
      </c>
      <c r="K967" s="29"/>
      <c r="L967" s="29"/>
      <c r="M967" s="29"/>
      <c r="N967" s="29"/>
      <c r="O967" s="29">
        <v>48000</v>
      </c>
      <c r="P967" s="29"/>
      <c r="Q967" s="29"/>
      <c r="R967" s="29"/>
      <c r="S967" s="29"/>
      <c r="T967" s="29">
        <f>48000-48000</f>
        <v>0</v>
      </c>
      <c r="U967" s="29"/>
      <c r="V967" s="29"/>
      <c r="W967" s="29">
        <f t="shared" si="115"/>
        <v>0</v>
      </c>
      <c r="X967" s="29">
        <f>47812</f>
        <v>47812</v>
      </c>
      <c r="Y967" s="29">
        <f t="shared" si="119"/>
        <v>188</v>
      </c>
    </row>
    <row r="968" spans="1:25" ht="37.5">
      <c r="A968" s="306"/>
      <c r="B968" s="293"/>
      <c r="C968" s="306"/>
      <c r="D968" s="297"/>
      <c r="E968" s="174" t="s">
        <v>717</v>
      </c>
      <c r="F968" s="61"/>
      <c r="G968" s="61"/>
      <c r="H968" s="61"/>
      <c r="I968" s="225">
        <v>3210</v>
      </c>
      <c r="J968" s="54">
        <f>40000+400000-5860</f>
        <v>434140</v>
      </c>
      <c r="K968" s="29"/>
      <c r="L968" s="29"/>
      <c r="M968" s="29"/>
      <c r="N968" s="29"/>
      <c r="O968" s="29">
        <v>440000</v>
      </c>
      <c r="P968" s="29"/>
      <c r="Q968" s="29">
        <v>-5860</v>
      </c>
      <c r="R968" s="29">
        <f>440000-440000</f>
        <v>0</v>
      </c>
      <c r="S968" s="29"/>
      <c r="T968" s="29"/>
      <c r="U968" s="29"/>
      <c r="V968" s="29">
        <f>5860-5860</f>
        <v>0</v>
      </c>
      <c r="W968" s="29">
        <f t="shared" si="115"/>
        <v>0</v>
      </c>
      <c r="X968" s="29">
        <v>434140</v>
      </c>
      <c r="Y968" s="29">
        <f t="shared" si="119"/>
        <v>0</v>
      </c>
    </row>
    <row r="969" spans="1:25" ht="37.5">
      <c r="A969" s="306"/>
      <c r="B969" s="293"/>
      <c r="C969" s="306"/>
      <c r="D969" s="297"/>
      <c r="E969" s="174" t="s">
        <v>1097</v>
      </c>
      <c r="F969" s="61"/>
      <c r="G969" s="61"/>
      <c r="H969" s="61"/>
      <c r="I969" s="225">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5"/>
        <v>0</v>
      </c>
      <c r="X969" s="29">
        <v>320000</v>
      </c>
      <c r="Y969" s="29">
        <f t="shared" si="119"/>
        <v>0</v>
      </c>
    </row>
    <row r="970" spans="1:25" ht="56.25">
      <c r="A970" s="306"/>
      <c r="B970" s="293"/>
      <c r="C970" s="306"/>
      <c r="D970" s="297"/>
      <c r="E970" s="174" t="s">
        <v>1098</v>
      </c>
      <c r="F970" s="61"/>
      <c r="G970" s="61"/>
      <c r="H970" s="61"/>
      <c r="I970" s="225">
        <v>3210</v>
      </c>
      <c r="J970" s="54">
        <f>50000+300000</f>
        <v>350000</v>
      </c>
      <c r="K970" s="29"/>
      <c r="L970" s="29"/>
      <c r="M970" s="29"/>
      <c r="N970" s="29"/>
      <c r="O970" s="29"/>
      <c r="P970" s="29"/>
      <c r="Q970" s="29"/>
      <c r="R970" s="29"/>
      <c r="S970" s="29">
        <v>350000</v>
      </c>
      <c r="T970" s="29"/>
      <c r="U970" s="29"/>
      <c r="V970" s="29"/>
      <c r="W970" s="29">
        <f t="shared" si="115"/>
        <v>0</v>
      </c>
      <c r="X970" s="29"/>
      <c r="Y970" s="29">
        <f t="shared" si="119"/>
        <v>350000</v>
      </c>
    </row>
    <row r="971" spans="1:25" ht="117" customHeight="1" hidden="1">
      <c r="A971" s="306"/>
      <c r="B971" s="293"/>
      <c r="C971" s="306"/>
      <c r="D971" s="297"/>
      <c r="E971" s="192" t="s">
        <v>241</v>
      </c>
      <c r="F971" s="192"/>
      <c r="G971" s="192"/>
      <c r="H971" s="192"/>
      <c r="I971" s="246">
        <v>3210</v>
      </c>
      <c r="J971" s="206">
        <f>15000-15000</f>
        <v>0</v>
      </c>
      <c r="K971" s="180"/>
      <c r="L971" s="180">
        <v>15000</v>
      </c>
      <c r="M971" s="180"/>
      <c r="N971" s="180"/>
      <c r="O971" s="180"/>
      <c r="P971" s="180"/>
      <c r="Q971" s="180">
        <v>-15000</v>
      </c>
      <c r="R971" s="180"/>
      <c r="S971" s="180"/>
      <c r="T971" s="180"/>
      <c r="U971" s="180"/>
      <c r="V971" s="180"/>
      <c r="W971" s="29">
        <f t="shared" si="115"/>
        <v>0</v>
      </c>
      <c r="X971" s="29"/>
      <c r="Y971" s="29">
        <f t="shared" si="119"/>
        <v>0</v>
      </c>
    </row>
    <row r="972" spans="1:25" ht="136.5" customHeight="1">
      <c r="A972" s="306"/>
      <c r="B972" s="293"/>
      <c r="C972" s="306"/>
      <c r="D972" s="297"/>
      <c r="E972" s="192" t="s">
        <v>173</v>
      </c>
      <c r="F972" s="192"/>
      <c r="G972" s="192"/>
      <c r="H972" s="192"/>
      <c r="I972" s="246">
        <v>3210</v>
      </c>
      <c r="J972" s="206">
        <v>15000</v>
      </c>
      <c r="K972" s="180"/>
      <c r="L972" s="180">
        <v>15000</v>
      </c>
      <c r="M972" s="180"/>
      <c r="N972" s="180"/>
      <c r="O972" s="180"/>
      <c r="P972" s="180"/>
      <c r="Q972" s="180"/>
      <c r="R972" s="180"/>
      <c r="S972" s="180"/>
      <c r="T972" s="180"/>
      <c r="U972" s="180"/>
      <c r="V972" s="180"/>
      <c r="W972" s="29">
        <f t="shared" si="115"/>
        <v>0</v>
      </c>
      <c r="X972" s="29">
        <v>15000</v>
      </c>
      <c r="Y972" s="29">
        <f t="shared" si="119"/>
        <v>0</v>
      </c>
    </row>
    <row r="973" spans="1:25" ht="195" customHeight="1">
      <c r="A973" s="306"/>
      <c r="B973" s="293"/>
      <c r="C973" s="306"/>
      <c r="D973" s="297"/>
      <c r="E973" s="192" t="s">
        <v>1091</v>
      </c>
      <c r="F973" s="192"/>
      <c r="G973" s="192"/>
      <c r="H973" s="192"/>
      <c r="I973" s="246">
        <v>3210</v>
      </c>
      <c r="J973" s="206">
        <v>850000</v>
      </c>
      <c r="K973" s="180"/>
      <c r="L973" s="180">
        <v>850000</v>
      </c>
      <c r="M973" s="180"/>
      <c r="N973" s="180"/>
      <c r="O973" s="180">
        <v>-488000</v>
      </c>
      <c r="P973" s="180"/>
      <c r="Q973" s="180"/>
      <c r="R973" s="180">
        <v>440000</v>
      </c>
      <c r="S973" s="180"/>
      <c r="T973" s="180">
        <v>48000</v>
      </c>
      <c r="U973" s="180"/>
      <c r="V973" s="180"/>
      <c r="W973" s="29">
        <f t="shared" si="115"/>
        <v>0</v>
      </c>
      <c r="X973" s="29">
        <v>254317.12</v>
      </c>
      <c r="Y973" s="29">
        <f t="shared" si="119"/>
        <v>595682.88</v>
      </c>
    </row>
    <row r="974" spans="1:25" ht="56.25">
      <c r="A974" s="306"/>
      <c r="B974" s="293"/>
      <c r="C974" s="306"/>
      <c r="D974" s="297"/>
      <c r="E974" s="61" t="s">
        <v>158</v>
      </c>
      <c r="F974" s="61"/>
      <c r="G974" s="61"/>
      <c r="H974" s="61"/>
      <c r="I974" s="233">
        <v>3210</v>
      </c>
      <c r="J974" s="54">
        <v>180000</v>
      </c>
      <c r="K974" s="29"/>
      <c r="L974" s="29"/>
      <c r="M974" s="29"/>
      <c r="N974" s="29"/>
      <c r="O974" s="29"/>
      <c r="P974" s="29"/>
      <c r="Q974" s="29"/>
      <c r="R974" s="29"/>
      <c r="S974" s="29">
        <v>180000</v>
      </c>
      <c r="T974" s="29"/>
      <c r="U974" s="29">
        <f>130000-130000</f>
        <v>0</v>
      </c>
      <c r="V974" s="29">
        <f>50000-50000</f>
        <v>0</v>
      </c>
      <c r="W974" s="29">
        <f t="shared" si="115"/>
        <v>0</v>
      </c>
      <c r="X974" s="29"/>
      <c r="Y974" s="29">
        <f t="shared" si="119"/>
        <v>180000</v>
      </c>
    </row>
    <row r="975" spans="1:25" ht="56.25">
      <c r="A975" s="306"/>
      <c r="B975" s="293"/>
      <c r="C975" s="306"/>
      <c r="D975" s="297"/>
      <c r="E975" s="61" t="s">
        <v>159</v>
      </c>
      <c r="F975" s="61"/>
      <c r="G975" s="61"/>
      <c r="H975" s="61"/>
      <c r="I975" s="233">
        <v>3210</v>
      </c>
      <c r="J975" s="54">
        <v>120000</v>
      </c>
      <c r="K975" s="29"/>
      <c r="L975" s="29"/>
      <c r="M975" s="29"/>
      <c r="N975" s="29"/>
      <c r="O975" s="29"/>
      <c r="P975" s="29"/>
      <c r="Q975" s="29"/>
      <c r="R975" s="29"/>
      <c r="S975" s="29">
        <v>120000</v>
      </c>
      <c r="T975" s="29">
        <v>-120000</v>
      </c>
      <c r="U975" s="29">
        <f>70000-70000</f>
        <v>0</v>
      </c>
      <c r="V975" s="29">
        <v>120000</v>
      </c>
      <c r="W975" s="29">
        <f t="shared" si="115"/>
        <v>0</v>
      </c>
      <c r="X975" s="29"/>
      <c r="Y975" s="29">
        <f t="shared" si="119"/>
        <v>0</v>
      </c>
    </row>
    <row r="976" spans="1:25" ht="77.25" customHeight="1">
      <c r="A976" s="306"/>
      <c r="B976" s="293"/>
      <c r="C976" s="306"/>
      <c r="D976" s="297"/>
      <c r="E976" s="28" t="s">
        <v>1068</v>
      </c>
      <c r="F976" s="28"/>
      <c r="G976" s="28"/>
      <c r="H976" s="28"/>
      <c r="I976" s="225">
        <v>3210</v>
      </c>
      <c r="J976" s="54">
        <v>85000</v>
      </c>
      <c r="K976" s="29"/>
      <c r="L976" s="29"/>
      <c r="M976" s="29"/>
      <c r="N976" s="29">
        <v>85000</v>
      </c>
      <c r="O976" s="29"/>
      <c r="P976" s="29"/>
      <c r="Q976" s="29"/>
      <c r="R976" s="29"/>
      <c r="S976" s="29"/>
      <c r="T976" s="29"/>
      <c r="U976" s="29"/>
      <c r="V976" s="29">
        <f>85000-85000</f>
        <v>0</v>
      </c>
      <c r="W976" s="29">
        <f t="shared" si="115"/>
        <v>0</v>
      </c>
      <c r="X976" s="29">
        <v>85000</v>
      </c>
      <c r="Y976" s="29">
        <f t="shared" si="119"/>
        <v>0</v>
      </c>
    </row>
    <row r="977" spans="1:25" ht="56.25">
      <c r="A977" s="306"/>
      <c r="B977" s="293"/>
      <c r="C977" s="306"/>
      <c r="D977" s="297"/>
      <c r="E977" s="61" t="s">
        <v>491</v>
      </c>
      <c r="F977" s="61"/>
      <c r="G977" s="61"/>
      <c r="H977" s="61"/>
      <c r="I977" s="233">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5"/>
        <v>2.6193447411060333E-10</v>
      </c>
      <c r="X977" s="29">
        <v>5800000</v>
      </c>
      <c r="Y977" s="29">
        <f t="shared" si="119"/>
        <v>0</v>
      </c>
    </row>
    <row r="978" spans="1:25" ht="56.25">
      <c r="A978" s="306"/>
      <c r="B978" s="293"/>
      <c r="C978" s="306"/>
      <c r="D978" s="297"/>
      <c r="E978" s="61" t="s">
        <v>49</v>
      </c>
      <c r="F978" s="61"/>
      <c r="G978" s="61"/>
      <c r="H978" s="61"/>
      <c r="I978" s="225">
        <v>3210</v>
      </c>
      <c r="J978" s="54">
        <f>120000+72917.51</f>
        <v>192917.51</v>
      </c>
      <c r="K978" s="29"/>
      <c r="L978" s="29"/>
      <c r="M978" s="29"/>
      <c r="N978" s="29">
        <v>120000</v>
      </c>
      <c r="O978" s="29"/>
      <c r="P978" s="29">
        <f>120000-120000</f>
        <v>0</v>
      </c>
      <c r="Q978" s="29">
        <v>19057.51</v>
      </c>
      <c r="R978" s="29"/>
      <c r="S978" s="29">
        <v>48000</v>
      </c>
      <c r="T978" s="29">
        <v>-187057.51</v>
      </c>
      <c r="U978" s="29"/>
      <c r="V978" s="29">
        <f>5860+187057.51</f>
        <v>192917.51</v>
      </c>
      <c r="W978" s="29">
        <f t="shared" si="115"/>
        <v>0</v>
      </c>
      <c r="X978" s="29"/>
      <c r="Y978" s="29">
        <f t="shared" si="119"/>
        <v>0</v>
      </c>
    </row>
    <row r="979" spans="1:25" ht="54" hidden="1">
      <c r="A979" s="306"/>
      <c r="B979" s="293"/>
      <c r="C979" s="306"/>
      <c r="D979" s="297"/>
      <c r="E979" s="28" t="s">
        <v>391</v>
      </c>
      <c r="F979" s="28"/>
      <c r="G979" s="28"/>
      <c r="H979" s="28"/>
      <c r="I979" s="233">
        <v>3210</v>
      </c>
      <c r="J979" s="47">
        <f>1500000-1500000</f>
        <v>0</v>
      </c>
      <c r="K979" s="29"/>
      <c r="L979" s="29"/>
      <c r="M979" s="29"/>
      <c r="N979" s="29"/>
      <c r="O979" s="29"/>
      <c r="P979" s="29"/>
      <c r="Q979" s="29"/>
      <c r="R979" s="29">
        <f>850000-850000</f>
        <v>0</v>
      </c>
      <c r="S979" s="29">
        <f>350000-350000</f>
        <v>0</v>
      </c>
      <c r="T979" s="29">
        <f>300000-300000</f>
        <v>0</v>
      </c>
      <c r="U979" s="29"/>
      <c r="V979" s="29"/>
      <c r="W979" s="29">
        <f t="shared" si="115"/>
        <v>0</v>
      </c>
      <c r="X979" s="29"/>
      <c r="Y979" s="29">
        <f t="shared" si="119"/>
        <v>0</v>
      </c>
    </row>
    <row r="980" spans="1:25" ht="56.25">
      <c r="A980" s="306"/>
      <c r="B980" s="293"/>
      <c r="C980" s="306"/>
      <c r="D980" s="297"/>
      <c r="E980" s="61" t="s">
        <v>571</v>
      </c>
      <c r="F980" s="61"/>
      <c r="G980" s="61"/>
      <c r="H980" s="61"/>
      <c r="I980" s="225">
        <v>3210</v>
      </c>
      <c r="J980" s="54">
        <v>320000</v>
      </c>
      <c r="K980" s="29"/>
      <c r="L980" s="29"/>
      <c r="M980" s="29"/>
      <c r="N980" s="29">
        <v>200000</v>
      </c>
      <c r="O980" s="29">
        <v>120000</v>
      </c>
      <c r="P980" s="29"/>
      <c r="Q980" s="29"/>
      <c r="R980" s="29"/>
      <c r="S980" s="29"/>
      <c r="T980" s="29"/>
      <c r="U980" s="29"/>
      <c r="V980" s="29"/>
      <c r="W980" s="29">
        <f t="shared" si="115"/>
        <v>0</v>
      </c>
      <c r="X980" s="29">
        <f>128757+169430+6182.89</f>
        <v>304369.89</v>
      </c>
      <c r="Y980" s="29">
        <f t="shared" si="119"/>
        <v>15630.109999999986</v>
      </c>
    </row>
    <row r="981" spans="1:25" ht="56.25">
      <c r="A981" s="306"/>
      <c r="B981" s="293"/>
      <c r="C981" s="306"/>
      <c r="D981" s="297"/>
      <c r="E981" s="61" t="s">
        <v>1011</v>
      </c>
      <c r="F981" s="61"/>
      <c r="G981" s="61"/>
      <c r="H981" s="61"/>
      <c r="I981" s="225">
        <v>3210</v>
      </c>
      <c r="J981" s="54">
        <v>3500000</v>
      </c>
      <c r="K981" s="29"/>
      <c r="L981" s="29"/>
      <c r="M981" s="29"/>
      <c r="N981" s="29"/>
      <c r="O981" s="29"/>
      <c r="P981" s="29"/>
      <c r="Q981" s="29"/>
      <c r="R981" s="29"/>
      <c r="S981" s="29"/>
      <c r="T981" s="29">
        <f>1000000+714000</f>
        <v>1714000</v>
      </c>
      <c r="U981" s="29"/>
      <c r="V981" s="29">
        <f>2500000-714000</f>
        <v>1786000</v>
      </c>
      <c r="W981" s="29">
        <f t="shared" si="115"/>
        <v>0</v>
      </c>
      <c r="X981" s="29"/>
      <c r="Y981" s="29">
        <f t="shared" si="119"/>
        <v>1714000</v>
      </c>
    </row>
    <row r="982" spans="1:25" ht="56.25">
      <c r="A982" s="306"/>
      <c r="B982" s="293"/>
      <c r="C982" s="306"/>
      <c r="D982" s="297"/>
      <c r="E982" s="61" t="s">
        <v>160</v>
      </c>
      <c r="F982" s="61"/>
      <c r="G982" s="61"/>
      <c r="H982" s="61"/>
      <c r="I982" s="225">
        <v>3210</v>
      </c>
      <c r="J982" s="54">
        <v>200000</v>
      </c>
      <c r="K982" s="29"/>
      <c r="L982" s="29"/>
      <c r="M982" s="29"/>
      <c r="N982" s="29"/>
      <c r="O982" s="29"/>
      <c r="P982" s="29"/>
      <c r="Q982" s="29"/>
      <c r="R982" s="29"/>
      <c r="S982" s="29"/>
      <c r="T982" s="29"/>
      <c r="U982" s="29"/>
      <c r="V982" s="29">
        <v>200000</v>
      </c>
      <c r="W982" s="29">
        <f t="shared" si="115"/>
        <v>0</v>
      </c>
      <c r="X982" s="29"/>
      <c r="Y982" s="29">
        <f t="shared" si="119"/>
        <v>0</v>
      </c>
    </row>
    <row r="983" spans="1:25" ht="75">
      <c r="A983" s="306"/>
      <c r="B983" s="293"/>
      <c r="C983" s="306"/>
      <c r="D983" s="297"/>
      <c r="E983" s="61" t="s">
        <v>951</v>
      </c>
      <c r="F983" s="61"/>
      <c r="G983" s="61"/>
      <c r="H983" s="61"/>
      <c r="I983" s="233">
        <v>3210</v>
      </c>
      <c r="J983" s="54">
        <f>1135000+35238</f>
        <v>1170238</v>
      </c>
      <c r="K983" s="29"/>
      <c r="L983" s="29"/>
      <c r="M983" s="29"/>
      <c r="N983" s="29"/>
      <c r="O983" s="29"/>
      <c r="P983" s="29"/>
      <c r="Q983" s="29"/>
      <c r="R983" s="29"/>
      <c r="S983" s="29">
        <v>35238</v>
      </c>
      <c r="T983" s="29"/>
      <c r="U983" s="29"/>
      <c r="V983" s="29">
        <f>1135000+35238-35238</f>
        <v>1135000</v>
      </c>
      <c r="W983" s="29">
        <f t="shared" si="115"/>
        <v>0</v>
      </c>
      <c r="X983" s="29">
        <f>10571.4</f>
        <v>10571.4</v>
      </c>
      <c r="Y983" s="29">
        <f t="shared" si="119"/>
        <v>24666.6</v>
      </c>
    </row>
    <row r="984" spans="1:25" ht="56.25">
      <c r="A984" s="306"/>
      <c r="B984" s="293"/>
      <c r="C984" s="306"/>
      <c r="D984" s="297"/>
      <c r="E984" s="61" t="s">
        <v>965</v>
      </c>
      <c r="F984" s="61"/>
      <c r="G984" s="61"/>
      <c r="H984" s="61"/>
      <c r="I984" s="225">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5"/>
        <v>-2.8194335754960775E-11</v>
      </c>
      <c r="X984" s="29">
        <f>650000+218771.22+16171.27</f>
        <v>884942.49</v>
      </c>
      <c r="Y984" s="29">
        <f t="shared" si="119"/>
        <v>0</v>
      </c>
    </row>
    <row r="985" spans="1:25" ht="37.5">
      <c r="A985" s="306"/>
      <c r="B985" s="293"/>
      <c r="C985" s="306"/>
      <c r="D985" s="297"/>
      <c r="E985" s="30" t="s">
        <v>167</v>
      </c>
      <c r="F985" s="30"/>
      <c r="G985" s="30"/>
      <c r="H985" s="30"/>
      <c r="I985" s="233"/>
      <c r="J985" s="79">
        <f>SUM(J986:J1003)</f>
        <v>15109384</v>
      </c>
      <c r="K985" s="79">
        <f aca="true" t="shared" si="122" ref="K985:X985">SUM(K986:K1003)</f>
        <v>0</v>
      </c>
      <c r="L985" s="79">
        <f t="shared" si="122"/>
        <v>0</v>
      </c>
      <c r="M985" s="79">
        <f t="shared" si="122"/>
        <v>8377500</v>
      </c>
      <c r="N985" s="79">
        <f t="shared" si="122"/>
        <v>3297400</v>
      </c>
      <c r="O985" s="79">
        <f t="shared" si="122"/>
        <v>350000</v>
      </c>
      <c r="P985" s="79">
        <f t="shared" si="122"/>
        <v>0</v>
      </c>
      <c r="Q985" s="79">
        <f t="shared" si="122"/>
        <v>691100</v>
      </c>
      <c r="R985" s="79">
        <f t="shared" si="122"/>
        <v>0</v>
      </c>
      <c r="S985" s="79">
        <f t="shared" si="122"/>
        <v>880000</v>
      </c>
      <c r="T985" s="79">
        <f t="shared" si="122"/>
        <v>1213384</v>
      </c>
      <c r="U985" s="79">
        <f t="shared" si="122"/>
        <v>300000</v>
      </c>
      <c r="V985" s="79">
        <f t="shared" si="122"/>
        <v>0</v>
      </c>
      <c r="W985" s="79">
        <f t="shared" si="122"/>
        <v>0</v>
      </c>
      <c r="X985" s="79">
        <f t="shared" si="122"/>
        <v>14563231.16</v>
      </c>
      <c r="Y985" s="29">
        <f t="shared" si="119"/>
        <v>246152.83999999985</v>
      </c>
    </row>
    <row r="986" spans="1:25" ht="18" hidden="1">
      <c r="A986" s="306"/>
      <c r="B986" s="293"/>
      <c r="C986" s="306"/>
      <c r="D986" s="297"/>
      <c r="E986" s="28" t="s">
        <v>441</v>
      </c>
      <c r="F986" s="28"/>
      <c r="G986" s="28"/>
      <c r="H986" s="28"/>
      <c r="I986" s="225">
        <v>3210</v>
      </c>
      <c r="J986" s="47">
        <f>1680000-746249-933751</f>
        <v>0</v>
      </c>
      <c r="K986" s="29"/>
      <c r="L986" s="29"/>
      <c r="M986" s="29"/>
      <c r="N986" s="29"/>
      <c r="O986" s="29"/>
      <c r="P986" s="29"/>
      <c r="Q986" s="29"/>
      <c r="R986" s="29"/>
      <c r="S986" s="29"/>
      <c r="T986" s="29"/>
      <c r="U986" s="29"/>
      <c r="V986" s="29">
        <f>1680000-746249-933751</f>
        <v>0</v>
      </c>
      <c r="W986" s="29">
        <f t="shared" si="115"/>
        <v>0</v>
      </c>
      <c r="X986" s="29"/>
      <c r="Y986" s="29">
        <f t="shared" si="119"/>
        <v>0</v>
      </c>
    </row>
    <row r="987" spans="1:25" ht="56.25">
      <c r="A987" s="306"/>
      <c r="B987" s="293"/>
      <c r="C987" s="306"/>
      <c r="D987" s="297"/>
      <c r="E987" s="28" t="s">
        <v>832</v>
      </c>
      <c r="F987" s="28"/>
      <c r="G987" s="28"/>
      <c r="H987" s="28"/>
      <c r="I987" s="233">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3" ref="W987:W1057">J987-K987-L987-M987-N987-O987-P987-Q987-R987-S987-T987-U987-V987</f>
        <v>0</v>
      </c>
      <c r="X987" s="29">
        <f>345000</f>
        <v>345000</v>
      </c>
      <c r="Y987" s="29">
        <f t="shared" si="119"/>
        <v>0</v>
      </c>
    </row>
    <row r="988" spans="1:25" ht="21.75" customHeight="1" hidden="1">
      <c r="A988" s="306"/>
      <c r="B988" s="293"/>
      <c r="C988" s="306"/>
      <c r="D988" s="297"/>
      <c r="E988" s="28" t="s">
        <v>716</v>
      </c>
      <c r="F988" s="28"/>
      <c r="G988" s="28"/>
      <c r="H988" s="28"/>
      <c r="I988" s="225">
        <v>3210</v>
      </c>
      <c r="J988" s="47">
        <f>725000-725000</f>
        <v>0</v>
      </c>
      <c r="K988" s="29"/>
      <c r="L988" s="29"/>
      <c r="M988" s="29"/>
      <c r="N988" s="29"/>
      <c r="O988" s="29"/>
      <c r="P988" s="29"/>
      <c r="Q988" s="29"/>
      <c r="R988" s="29"/>
      <c r="S988" s="29"/>
      <c r="T988" s="29"/>
      <c r="U988" s="29"/>
      <c r="V988" s="29">
        <f>725000-725000</f>
        <v>0</v>
      </c>
      <c r="W988" s="29">
        <f t="shared" si="123"/>
        <v>0</v>
      </c>
      <c r="X988" s="29"/>
      <c r="Y988" s="29">
        <f t="shared" si="119"/>
        <v>0</v>
      </c>
    </row>
    <row r="989" spans="1:25" ht="18" hidden="1">
      <c r="A989" s="306"/>
      <c r="B989" s="293"/>
      <c r="C989" s="306"/>
      <c r="D989" s="297"/>
      <c r="E989" s="28" t="s">
        <v>717</v>
      </c>
      <c r="F989" s="28"/>
      <c r="G989" s="28"/>
      <c r="H989" s="28"/>
      <c r="I989" s="233">
        <v>3210</v>
      </c>
      <c r="J989" s="47">
        <f>435000-435000</f>
        <v>0</v>
      </c>
      <c r="K989" s="29"/>
      <c r="L989" s="29"/>
      <c r="M989" s="29"/>
      <c r="N989" s="29"/>
      <c r="O989" s="29"/>
      <c r="P989" s="29"/>
      <c r="Q989" s="29"/>
      <c r="R989" s="29"/>
      <c r="S989" s="29"/>
      <c r="T989" s="29"/>
      <c r="U989" s="29"/>
      <c r="V989" s="29">
        <f>435000-435000</f>
        <v>0</v>
      </c>
      <c r="W989" s="29">
        <f t="shared" si="123"/>
        <v>0</v>
      </c>
      <c r="X989" s="29"/>
      <c r="Y989" s="29">
        <f t="shared" si="119"/>
        <v>0</v>
      </c>
    </row>
    <row r="990" spans="1:25" ht="56.25">
      <c r="A990" s="306"/>
      <c r="B990" s="293"/>
      <c r="C990" s="306"/>
      <c r="D990" s="297"/>
      <c r="E990" s="28" t="s">
        <v>718</v>
      </c>
      <c r="F990" s="28"/>
      <c r="G990" s="28"/>
      <c r="H990" s="28"/>
      <c r="I990" s="225">
        <v>3210</v>
      </c>
      <c r="J990" s="47">
        <f>3604500-27500</f>
        <v>3577000</v>
      </c>
      <c r="K990" s="29"/>
      <c r="L990" s="29"/>
      <c r="M990" s="29">
        <v>3604500</v>
      </c>
      <c r="N990" s="29"/>
      <c r="O990" s="29"/>
      <c r="P990" s="29"/>
      <c r="Q990" s="29">
        <f>-27500</f>
        <v>-27500</v>
      </c>
      <c r="R990" s="29"/>
      <c r="S990" s="29"/>
      <c r="T990" s="29"/>
      <c r="U990" s="29"/>
      <c r="V990" s="29">
        <f>27500-27500</f>
        <v>0</v>
      </c>
      <c r="W990" s="29">
        <f t="shared" si="123"/>
        <v>0</v>
      </c>
      <c r="X990" s="29">
        <v>3577000</v>
      </c>
      <c r="Y990" s="29">
        <f t="shared" si="119"/>
        <v>0</v>
      </c>
    </row>
    <row r="991" spans="1:25" ht="56.25">
      <c r="A991" s="306"/>
      <c r="B991" s="293"/>
      <c r="C991" s="306"/>
      <c r="D991" s="297"/>
      <c r="E991" s="28" t="s">
        <v>40</v>
      </c>
      <c r="F991" s="28"/>
      <c r="G991" s="28"/>
      <c r="H991" s="28"/>
      <c r="I991" s="233">
        <v>3210</v>
      </c>
      <c r="J991" s="47">
        <f>3773000+2047400</f>
        <v>5820400</v>
      </c>
      <c r="K991" s="29"/>
      <c r="L991" s="29"/>
      <c r="M991" s="29">
        <v>3773000</v>
      </c>
      <c r="N991" s="29">
        <v>2047400</v>
      </c>
      <c r="O991" s="29"/>
      <c r="P991" s="29"/>
      <c r="Q991" s="29"/>
      <c r="R991" s="29"/>
      <c r="S991" s="29"/>
      <c r="T991" s="29"/>
      <c r="U991" s="29"/>
      <c r="V991" s="29">
        <f>2047400-2047400</f>
        <v>0</v>
      </c>
      <c r="W991" s="29">
        <f t="shared" si="123"/>
        <v>0</v>
      </c>
      <c r="X991" s="29">
        <f>2846000+2974400</f>
        <v>5820400</v>
      </c>
      <c r="Y991" s="29">
        <f t="shared" si="119"/>
        <v>0</v>
      </c>
    </row>
    <row r="992" spans="1:25" ht="18" hidden="1">
      <c r="A992" s="306"/>
      <c r="B992" s="293"/>
      <c r="C992" s="306"/>
      <c r="D992" s="297"/>
      <c r="E992" s="28" t="s">
        <v>508</v>
      </c>
      <c r="F992" s="28"/>
      <c r="G992" s="28"/>
      <c r="H992" s="28"/>
      <c r="I992" s="225">
        <v>3210</v>
      </c>
      <c r="J992" s="47">
        <f>4068000-350000-3718000</f>
        <v>0</v>
      </c>
      <c r="K992" s="29"/>
      <c r="L992" s="29"/>
      <c r="M992" s="29"/>
      <c r="N992" s="29"/>
      <c r="O992" s="29"/>
      <c r="P992" s="29"/>
      <c r="Q992" s="29"/>
      <c r="R992" s="29"/>
      <c r="S992" s="29"/>
      <c r="T992" s="29"/>
      <c r="U992" s="29"/>
      <c r="V992" s="29">
        <f>4068000-350000-3718000</f>
        <v>0</v>
      </c>
      <c r="W992" s="29">
        <f t="shared" si="123"/>
        <v>0</v>
      </c>
      <c r="X992" s="29"/>
      <c r="Y992" s="29">
        <f t="shared" si="119"/>
        <v>0</v>
      </c>
    </row>
    <row r="993" spans="1:25" ht="37.5">
      <c r="A993" s="306"/>
      <c r="B993" s="293"/>
      <c r="C993" s="306"/>
      <c r="D993" s="297"/>
      <c r="E993" s="28" t="s">
        <v>123</v>
      </c>
      <c r="F993" s="28"/>
      <c r="G993" s="28"/>
      <c r="H993" s="28"/>
      <c r="I993" s="233">
        <v>3210</v>
      </c>
      <c r="J993" s="47">
        <v>73600</v>
      </c>
      <c r="K993" s="29"/>
      <c r="L993" s="29"/>
      <c r="M993" s="29"/>
      <c r="N993" s="29">
        <v>73600</v>
      </c>
      <c r="O993" s="29"/>
      <c r="P993" s="29"/>
      <c r="Q993" s="29"/>
      <c r="R993" s="29"/>
      <c r="S993" s="29"/>
      <c r="T993" s="29">
        <f>73600-73600</f>
        <v>0</v>
      </c>
      <c r="U993" s="29"/>
      <c r="V993" s="29"/>
      <c r="W993" s="29">
        <f t="shared" si="123"/>
        <v>0</v>
      </c>
      <c r="X993" s="29">
        <v>73600</v>
      </c>
      <c r="Y993" s="29">
        <f t="shared" si="119"/>
        <v>0</v>
      </c>
    </row>
    <row r="994" spans="1:25" ht="18" hidden="1">
      <c r="A994" s="306"/>
      <c r="B994" s="293"/>
      <c r="C994" s="306"/>
      <c r="D994" s="297"/>
      <c r="E994" s="28" t="s">
        <v>1206</v>
      </c>
      <c r="F994" s="28"/>
      <c r="G994" s="28"/>
      <c r="H994" s="28"/>
      <c r="I994" s="225">
        <v>3210</v>
      </c>
      <c r="J994" s="47">
        <f>450000-450000</f>
        <v>0</v>
      </c>
      <c r="K994" s="29"/>
      <c r="L994" s="29"/>
      <c r="M994" s="29"/>
      <c r="N994" s="29"/>
      <c r="O994" s="29"/>
      <c r="P994" s="29"/>
      <c r="Q994" s="29"/>
      <c r="R994" s="29"/>
      <c r="S994" s="29"/>
      <c r="T994" s="29"/>
      <c r="U994" s="29"/>
      <c r="V994" s="47">
        <f>450000-450000</f>
        <v>0</v>
      </c>
      <c r="W994" s="29">
        <f aca="true" t="shared" si="124" ref="W994:W1001">J994-K994-L994-M994-N994-O994-P994-Q994-R994-S994-T994-U994-V994</f>
        <v>0</v>
      </c>
      <c r="X994" s="29"/>
      <c r="Y994" s="29">
        <f t="shared" si="119"/>
        <v>0</v>
      </c>
    </row>
    <row r="995" spans="1:25" ht="36" hidden="1">
      <c r="A995" s="306"/>
      <c r="B995" s="293"/>
      <c r="C995" s="306"/>
      <c r="D995" s="297"/>
      <c r="E995" s="28" t="s">
        <v>1207</v>
      </c>
      <c r="F995" s="28"/>
      <c r="G995" s="28"/>
      <c r="H995" s="28"/>
      <c r="I995" s="233">
        <v>3210</v>
      </c>
      <c r="J995" s="47">
        <f>700000-700000</f>
        <v>0</v>
      </c>
      <c r="K995" s="29"/>
      <c r="L995" s="29"/>
      <c r="M995" s="29"/>
      <c r="N995" s="29"/>
      <c r="O995" s="29"/>
      <c r="P995" s="29"/>
      <c r="Q995" s="29"/>
      <c r="R995" s="29"/>
      <c r="S995" s="29"/>
      <c r="T995" s="29"/>
      <c r="U995" s="29"/>
      <c r="V995" s="47">
        <f>700000-700000</f>
        <v>0</v>
      </c>
      <c r="W995" s="29">
        <f t="shared" si="124"/>
        <v>0</v>
      </c>
      <c r="X995" s="29"/>
      <c r="Y995" s="29">
        <f t="shared" si="119"/>
        <v>0</v>
      </c>
    </row>
    <row r="996" spans="1:25" ht="18" hidden="1">
      <c r="A996" s="306"/>
      <c r="B996" s="293"/>
      <c r="C996" s="306"/>
      <c r="D996" s="297"/>
      <c r="E996" s="28" t="s">
        <v>1208</v>
      </c>
      <c r="F996" s="28"/>
      <c r="G996" s="28"/>
      <c r="H996" s="28"/>
      <c r="I996" s="225">
        <v>3210</v>
      </c>
      <c r="J996" s="47">
        <f>1100000-1100000</f>
        <v>0</v>
      </c>
      <c r="K996" s="29"/>
      <c r="L996" s="29"/>
      <c r="M996" s="29"/>
      <c r="N996" s="29"/>
      <c r="O996" s="29"/>
      <c r="P996" s="29"/>
      <c r="Q996" s="29"/>
      <c r="R996" s="29"/>
      <c r="S996" s="29"/>
      <c r="T996" s="29"/>
      <c r="U996" s="29"/>
      <c r="V996" s="47">
        <f>1100000-1100000</f>
        <v>0</v>
      </c>
      <c r="W996" s="29">
        <f t="shared" si="124"/>
        <v>0</v>
      </c>
      <c r="X996" s="29"/>
      <c r="Y996" s="29">
        <f t="shared" si="119"/>
        <v>0</v>
      </c>
    </row>
    <row r="997" spans="1:25" ht="18" hidden="1">
      <c r="A997" s="306"/>
      <c r="B997" s="293"/>
      <c r="C997" s="306"/>
      <c r="D997" s="297"/>
      <c r="E997" s="28" t="s">
        <v>1209</v>
      </c>
      <c r="F997" s="28"/>
      <c r="G997" s="28"/>
      <c r="H997" s="28"/>
      <c r="I997" s="233">
        <v>3210</v>
      </c>
      <c r="J997" s="47">
        <f>3424200-200-3424000</f>
        <v>0</v>
      </c>
      <c r="K997" s="29"/>
      <c r="L997" s="29"/>
      <c r="M997" s="29"/>
      <c r="N997" s="29"/>
      <c r="O997" s="29"/>
      <c r="P997" s="29"/>
      <c r="Q997" s="29"/>
      <c r="R997" s="29"/>
      <c r="S997" s="29"/>
      <c r="T997" s="29"/>
      <c r="U997" s="29"/>
      <c r="V997" s="47">
        <f>3424200-200-3424000</f>
        <v>0</v>
      </c>
      <c r="W997" s="29">
        <f t="shared" si="124"/>
        <v>0</v>
      </c>
      <c r="X997" s="29"/>
      <c r="Y997" s="29">
        <f t="shared" si="119"/>
        <v>0</v>
      </c>
    </row>
    <row r="998" spans="1:25" ht="18.75">
      <c r="A998" s="306"/>
      <c r="B998" s="293"/>
      <c r="C998" s="306"/>
      <c r="D998" s="297"/>
      <c r="E998" s="28" t="s">
        <v>1013</v>
      </c>
      <c r="F998" s="28"/>
      <c r="G998" s="28"/>
      <c r="H998" s="28"/>
      <c r="I998" s="233">
        <v>3210</v>
      </c>
      <c r="J998" s="47">
        <v>25000</v>
      </c>
      <c r="K998" s="29"/>
      <c r="L998" s="29"/>
      <c r="M998" s="29"/>
      <c r="N998" s="29"/>
      <c r="O998" s="29"/>
      <c r="P998" s="29"/>
      <c r="Q998" s="29"/>
      <c r="R998" s="29"/>
      <c r="S998" s="29"/>
      <c r="T998" s="29">
        <f>25000</f>
        <v>25000</v>
      </c>
      <c r="U998" s="29"/>
      <c r="V998" s="47">
        <f>25000-25000</f>
        <v>0</v>
      </c>
      <c r="W998" s="29">
        <f t="shared" si="124"/>
        <v>0</v>
      </c>
      <c r="X998" s="29"/>
      <c r="Y998" s="29">
        <f t="shared" si="119"/>
        <v>25000</v>
      </c>
    </row>
    <row r="999" spans="1:25" ht="37.5">
      <c r="A999" s="306"/>
      <c r="B999" s="293"/>
      <c r="C999" s="306"/>
      <c r="D999" s="297"/>
      <c r="E999" s="28" t="s">
        <v>1014</v>
      </c>
      <c r="F999" s="28"/>
      <c r="G999" s="28"/>
      <c r="H999" s="28"/>
      <c r="I999" s="233">
        <v>3210</v>
      </c>
      <c r="J999" s="47">
        <v>978384</v>
      </c>
      <c r="K999" s="29"/>
      <c r="L999" s="29"/>
      <c r="M999" s="29"/>
      <c r="N999" s="29"/>
      <c r="O999" s="29"/>
      <c r="P999" s="29"/>
      <c r="Q999" s="29"/>
      <c r="R999" s="29"/>
      <c r="S999" s="29"/>
      <c r="T999" s="29">
        <f>978384</f>
        <v>978384</v>
      </c>
      <c r="U999" s="29"/>
      <c r="V999" s="47">
        <f>978384-978384</f>
        <v>0</v>
      </c>
      <c r="W999" s="29">
        <f t="shared" si="124"/>
        <v>0</v>
      </c>
      <c r="X999" s="29">
        <f>978384</f>
        <v>978384</v>
      </c>
      <c r="Y999" s="29">
        <f t="shared" si="119"/>
        <v>0</v>
      </c>
    </row>
    <row r="1000" spans="1:25" ht="18.75">
      <c r="A1000" s="306"/>
      <c r="B1000" s="293"/>
      <c r="C1000" s="306"/>
      <c r="D1000" s="297"/>
      <c r="E1000" s="28" t="s">
        <v>1015</v>
      </c>
      <c r="F1000" s="28"/>
      <c r="G1000" s="28"/>
      <c r="H1000" s="28"/>
      <c r="I1000" s="233">
        <v>3210</v>
      </c>
      <c r="J1000" s="47">
        <v>20000</v>
      </c>
      <c r="K1000" s="29"/>
      <c r="L1000" s="29"/>
      <c r="M1000" s="29"/>
      <c r="N1000" s="29"/>
      <c r="O1000" s="29"/>
      <c r="P1000" s="29"/>
      <c r="Q1000" s="29"/>
      <c r="R1000" s="29"/>
      <c r="S1000" s="29"/>
      <c r="T1000" s="29">
        <f>20000</f>
        <v>20000</v>
      </c>
      <c r="U1000" s="29"/>
      <c r="V1000" s="47">
        <f>20000-20000</f>
        <v>0</v>
      </c>
      <c r="W1000" s="29">
        <f t="shared" si="124"/>
        <v>0</v>
      </c>
      <c r="X1000" s="29"/>
      <c r="Y1000" s="29">
        <f t="shared" si="119"/>
        <v>20000</v>
      </c>
    </row>
    <row r="1001" spans="1:25" ht="75">
      <c r="A1001" s="306"/>
      <c r="B1001" s="293"/>
      <c r="C1001" s="306"/>
      <c r="D1001" s="297"/>
      <c r="E1001" s="28" t="s">
        <v>1016</v>
      </c>
      <c r="F1001" s="28"/>
      <c r="G1001" s="28"/>
      <c r="H1001" s="28"/>
      <c r="I1001" s="233">
        <v>3210</v>
      </c>
      <c r="J1001" s="47">
        <v>190000</v>
      </c>
      <c r="K1001" s="29"/>
      <c r="L1001" s="29"/>
      <c r="M1001" s="29"/>
      <c r="N1001" s="29"/>
      <c r="O1001" s="29"/>
      <c r="P1001" s="29"/>
      <c r="Q1001" s="29"/>
      <c r="R1001" s="29"/>
      <c r="S1001" s="29"/>
      <c r="T1001" s="29">
        <f>190000</f>
        <v>190000</v>
      </c>
      <c r="U1001" s="29"/>
      <c r="V1001" s="47">
        <f>190000-190000</f>
        <v>0</v>
      </c>
      <c r="W1001" s="29">
        <f t="shared" si="124"/>
        <v>0</v>
      </c>
      <c r="X1001" s="29"/>
      <c r="Y1001" s="29">
        <f t="shared" si="119"/>
        <v>190000</v>
      </c>
    </row>
    <row r="1002" spans="1:25" ht="44.25" customHeight="1">
      <c r="A1002" s="306"/>
      <c r="B1002" s="293"/>
      <c r="C1002" s="306"/>
      <c r="D1002" s="297"/>
      <c r="E1002" s="28" t="s">
        <v>509</v>
      </c>
      <c r="F1002" s="28"/>
      <c r="G1002" s="28"/>
      <c r="H1002" s="28"/>
      <c r="I1002" s="225">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3"/>
        <v>0</v>
      </c>
      <c r="X1002" s="29">
        <f>880000</f>
        <v>880000</v>
      </c>
      <c r="Y1002" s="29">
        <f t="shared" si="119"/>
        <v>0</v>
      </c>
    </row>
    <row r="1003" spans="1:25" ht="37.5">
      <c r="A1003" s="306"/>
      <c r="B1003" s="292"/>
      <c r="C1003" s="306"/>
      <c r="D1003" s="297"/>
      <c r="E1003" s="28" t="s">
        <v>510</v>
      </c>
      <c r="F1003" s="28"/>
      <c r="G1003" s="28"/>
      <c r="H1003" s="28"/>
      <c r="I1003" s="233">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3"/>
        <v>0</v>
      </c>
      <c r="X1003" s="29">
        <f>117217.32+1825119.34+54614.47+891896.03</f>
        <v>2888847.16</v>
      </c>
      <c r="Y1003" s="29">
        <f t="shared" si="119"/>
        <v>11152.839999999851</v>
      </c>
    </row>
    <row r="1004" spans="1:25" ht="18" hidden="1">
      <c r="A1004" s="291" t="s">
        <v>597</v>
      </c>
      <c r="B1004" s="291" t="s">
        <v>596</v>
      </c>
      <c r="C1004" s="291" t="s">
        <v>420</v>
      </c>
      <c r="D1004" s="283" t="s">
        <v>511</v>
      </c>
      <c r="E1004" s="74"/>
      <c r="F1004" s="74"/>
      <c r="G1004" s="74"/>
      <c r="H1004" s="74"/>
      <c r="I1004" s="261"/>
      <c r="J1004" s="79">
        <f>SUM(J1005:J1005)</f>
        <v>0</v>
      </c>
      <c r="K1004" s="79">
        <f aca="true" t="shared" si="125" ref="K1004:X1004">SUM(K1005:K1005)</f>
        <v>0</v>
      </c>
      <c r="L1004" s="79">
        <f t="shared" si="125"/>
        <v>0</v>
      </c>
      <c r="M1004" s="79">
        <f t="shared" si="125"/>
        <v>0</v>
      </c>
      <c r="N1004" s="79">
        <f t="shared" si="125"/>
        <v>0</v>
      </c>
      <c r="O1004" s="79">
        <f t="shared" si="125"/>
        <v>0</v>
      </c>
      <c r="P1004" s="79">
        <f t="shared" si="125"/>
        <v>0</v>
      </c>
      <c r="Q1004" s="79">
        <f t="shared" si="125"/>
        <v>0</v>
      </c>
      <c r="R1004" s="79">
        <f t="shared" si="125"/>
        <v>0</v>
      </c>
      <c r="S1004" s="79">
        <f t="shared" si="125"/>
        <v>0</v>
      </c>
      <c r="T1004" s="79">
        <f t="shared" si="125"/>
        <v>0</v>
      </c>
      <c r="U1004" s="79">
        <f t="shared" si="125"/>
        <v>0</v>
      </c>
      <c r="V1004" s="79">
        <f t="shared" si="125"/>
        <v>0</v>
      </c>
      <c r="W1004" s="79">
        <f t="shared" si="125"/>
        <v>0</v>
      </c>
      <c r="X1004" s="79">
        <f t="shared" si="125"/>
        <v>0</v>
      </c>
      <c r="Y1004" s="29">
        <f t="shared" si="119"/>
        <v>0</v>
      </c>
    </row>
    <row r="1005" spans="1:25" ht="54" hidden="1">
      <c r="A1005" s="292"/>
      <c r="B1005" s="292"/>
      <c r="C1005" s="292"/>
      <c r="D1005" s="301"/>
      <c r="E1005" s="73" t="s">
        <v>512</v>
      </c>
      <c r="F1005" s="135">
        <f>J1005</f>
        <v>0</v>
      </c>
      <c r="G1005" s="134">
        <v>1</v>
      </c>
      <c r="H1005" s="135">
        <f>J1005</f>
        <v>0</v>
      </c>
      <c r="I1005" s="233"/>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3"/>
        <v>0</v>
      </c>
      <c r="X1005" s="29"/>
      <c r="Y1005" s="29">
        <f t="shared" si="119"/>
        <v>0</v>
      </c>
    </row>
    <row r="1006" spans="1:25" ht="18" customHeight="1">
      <c r="A1006" s="306" t="s">
        <v>598</v>
      </c>
      <c r="B1006" s="291" t="s">
        <v>1171</v>
      </c>
      <c r="C1006" s="306" t="s">
        <v>80</v>
      </c>
      <c r="D1006" s="325" t="s">
        <v>1172</v>
      </c>
      <c r="E1006" s="74"/>
      <c r="F1006" s="74"/>
      <c r="G1006" s="74"/>
      <c r="H1006" s="74"/>
      <c r="I1006" s="261"/>
      <c r="J1006" s="79">
        <f>J1007</f>
        <v>4587000</v>
      </c>
      <c r="K1006" s="79">
        <f aca="true" t="shared" si="126" ref="K1006:X1006">K1007</f>
        <v>0</v>
      </c>
      <c r="L1006" s="79">
        <f t="shared" si="126"/>
        <v>0</v>
      </c>
      <c r="M1006" s="79">
        <f t="shared" si="126"/>
        <v>0</v>
      </c>
      <c r="N1006" s="79">
        <f t="shared" si="126"/>
        <v>0</v>
      </c>
      <c r="O1006" s="79">
        <f t="shared" si="126"/>
        <v>0</v>
      </c>
      <c r="P1006" s="79">
        <f t="shared" si="126"/>
        <v>0</v>
      </c>
      <c r="Q1006" s="79">
        <f t="shared" si="126"/>
        <v>0</v>
      </c>
      <c r="R1006" s="79">
        <f t="shared" si="126"/>
        <v>4587000</v>
      </c>
      <c r="S1006" s="79">
        <f t="shared" si="126"/>
        <v>0</v>
      </c>
      <c r="T1006" s="79">
        <f t="shared" si="126"/>
        <v>0</v>
      </c>
      <c r="U1006" s="79">
        <f t="shared" si="126"/>
        <v>0</v>
      </c>
      <c r="V1006" s="79">
        <f t="shared" si="126"/>
        <v>0</v>
      </c>
      <c r="W1006" s="79">
        <f t="shared" si="126"/>
        <v>0</v>
      </c>
      <c r="X1006" s="79">
        <f t="shared" si="126"/>
        <v>4587000</v>
      </c>
      <c r="Y1006" s="29">
        <f t="shared" si="119"/>
        <v>0</v>
      </c>
    </row>
    <row r="1007" spans="1:25" ht="100.5" customHeight="1">
      <c r="A1007" s="306"/>
      <c r="B1007" s="292"/>
      <c r="C1007" s="306"/>
      <c r="D1007" s="325"/>
      <c r="E1007" s="28" t="s">
        <v>513</v>
      </c>
      <c r="F1007" s="28"/>
      <c r="G1007" s="28"/>
      <c r="H1007" s="28"/>
      <c r="I1007" s="225">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3"/>
        <v>0</v>
      </c>
      <c r="X1007" s="29">
        <v>4587000</v>
      </c>
      <c r="Y1007" s="29">
        <f t="shared" si="119"/>
        <v>0</v>
      </c>
    </row>
    <row r="1008" spans="1:25" ht="31.5" customHeight="1" hidden="1">
      <c r="A1008" s="9"/>
      <c r="B1008" s="9"/>
      <c r="C1008" s="306"/>
      <c r="D1008" s="45"/>
      <c r="E1008" s="30" t="s">
        <v>417</v>
      </c>
      <c r="F1008" s="47"/>
      <c r="G1008" s="114"/>
      <c r="H1008" s="122"/>
      <c r="I1008" s="234"/>
      <c r="J1008" s="79">
        <f>SUM(J1009:J1012)</f>
        <v>0</v>
      </c>
      <c r="K1008" s="29"/>
      <c r="L1008" s="29"/>
      <c r="M1008" s="29"/>
      <c r="N1008" s="29"/>
      <c r="O1008" s="29"/>
      <c r="P1008" s="29"/>
      <c r="Q1008" s="29"/>
      <c r="R1008" s="29"/>
      <c r="S1008" s="29"/>
      <c r="T1008" s="29"/>
      <c r="U1008" s="29"/>
      <c r="V1008" s="29"/>
      <c r="W1008" s="29">
        <f t="shared" si="123"/>
        <v>0</v>
      </c>
      <c r="X1008" s="29"/>
      <c r="Y1008" s="29">
        <f t="shared" si="119"/>
        <v>0</v>
      </c>
    </row>
    <row r="1009" spans="1:25" ht="18.75" customHeight="1" hidden="1">
      <c r="A1009" s="9"/>
      <c r="B1009" s="9"/>
      <c r="C1009" s="306"/>
      <c r="D1009" s="45"/>
      <c r="E1009" s="28"/>
      <c r="F1009" s="47"/>
      <c r="G1009" s="114"/>
      <c r="H1009" s="47"/>
      <c r="I1009" s="225"/>
      <c r="J1009" s="47"/>
      <c r="K1009" s="29"/>
      <c r="L1009" s="29"/>
      <c r="M1009" s="29"/>
      <c r="N1009" s="29"/>
      <c r="O1009" s="29"/>
      <c r="P1009" s="29"/>
      <c r="Q1009" s="29"/>
      <c r="R1009" s="29"/>
      <c r="S1009" s="29"/>
      <c r="T1009" s="29"/>
      <c r="U1009" s="29"/>
      <c r="V1009" s="29"/>
      <c r="W1009" s="29">
        <f t="shared" si="123"/>
        <v>0</v>
      </c>
      <c r="X1009" s="29"/>
      <c r="Y1009" s="29">
        <f t="shared" si="119"/>
        <v>0</v>
      </c>
    </row>
    <row r="1010" spans="1:25" ht="18.75" customHeight="1" hidden="1">
      <c r="A1010" s="9"/>
      <c r="B1010" s="9"/>
      <c r="C1010" s="306"/>
      <c r="D1010" s="45"/>
      <c r="E1010" s="28"/>
      <c r="F1010" s="47"/>
      <c r="G1010" s="114"/>
      <c r="H1010" s="47"/>
      <c r="I1010" s="225"/>
      <c r="J1010" s="47"/>
      <c r="K1010" s="29"/>
      <c r="L1010" s="29"/>
      <c r="M1010" s="29"/>
      <c r="N1010" s="29"/>
      <c r="O1010" s="29"/>
      <c r="P1010" s="29"/>
      <c r="Q1010" s="29"/>
      <c r="R1010" s="29"/>
      <c r="S1010" s="29"/>
      <c r="T1010" s="29"/>
      <c r="U1010" s="29"/>
      <c r="V1010" s="29"/>
      <c r="W1010" s="29">
        <f t="shared" si="123"/>
        <v>0</v>
      </c>
      <c r="X1010" s="29"/>
      <c r="Y1010" s="29">
        <f t="shared" si="119"/>
        <v>0</v>
      </c>
    </row>
    <row r="1011" spans="1:25" ht="18.75" customHeight="1" hidden="1">
      <c r="A1011" s="9"/>
      <c r="B1011" s="9"/>
      <c r="C1011" s="306"/>
      <c r="D1011" s="45"/>
      <c r="E1011" s="28"/>
      <c r="F1011" s="47"/>
      <c r="G1011" s="114"/>
      <c r="H1011" s="47"/>
      <c r="I1011" s="225"/>
      <c r="J1011" s="47"/>
      <c r="K1011" s="29"/>
      <c r="L1011" s="29"/>
      <c r="M1011" s="29"/>
      <c r="N1011" s="29"/>
      <c r="O1011" s="29"/>
      <c r="P1011" s="29"/>
      <c r="Q1011" s="29"/>
      <c r="R1011" s="29"/>
      <c r="S1011" s="29"/>
      <c r="T1011" s="29"/>
      <c r="U1011" s="29"/>
      <c r="V1011" s="29"/>
      <c r="W1011" s="29">
        <f t="shared" si="123"/>
        <v>0</v>
      </c>
      <c r="X1011" s="29"/>
      <c r="Y1011" s="29">
        <f t="shared" si="119"/>
        <v>0</v>
      </c>
    </row>
    <row r="1012" spans="1:25" ht="18.75" customHeight="1" hidden="1">
      <c r="A1012" s="9"/>
      <c r="B1012" s="9"/>
      <c r="C1012" s="306"/>
      <c r="D1012" s="45"/>
      <c r="E1012" s="28"/>
      <c r="F1012" s="47"/>
      <c r="G1012" s="114"/>
      <c r="H1012" s="47"/>
      <c r="I1012" s="225"/>
      <c r="J1012" s="47"/>
      <c r="K1012" s="29"/>
      <c r="L1012" s="29"/>
      <c r="M1012" s="29"/>
      <c r="N1012" s="29"/>
      <c r="O1012" s="29"/>
      <c r="P1012" s="29"/>
      <c r="Q1012" s="29"/>
      <c r="R1012" s="29"/>
      <c r="S1012" s="29"/>
      <c r="T1012" s="29"/>
      <c r="U1012" s="29"/>
      <c r="V1012" s="29"/>
      <c r="W1012" s="29">
        <f t="shared" si="123"/>
        <v>0</v>
      </c>
      <c r="X1012" s="29"/>
      <c r="Y1012" s="29">
        <f t="shared" si="119"/>
        <v>0</v>
      </c>
    </row>
    <row r="1013" spans="1:25" ht="18.75" customHeight="1" hidden="1">
      <c r="A1013" s="120"/>
      <c r="B1013" s="120"/>
      <c r="C1013" s="291" t="s">
        <v>418</v>
      </c>
      <c r="D1013" s="48"/>
      <c r="E1013" s="73"/>
      <c r="F1013" s="29"/>
      <c r="G1013" s="114"/>
      <c r="H1013" s="122"/>
      <c r="I1013" s="234"/>
      <c r="J1013" s="60">
        <f>SUM(J1014:J1017)</f>
        <v>0</v>
      </c>
      <c r="K1013" s="29"/>
      <c r="L1013" s="29"/>
      <c r="M1013" s="29"/>
      <c r="N1013" s="29"/>
      <c r="O1013" s="29"/>
      <c r="P1013" s="29"/>
      <c r="Q1013" s="29"/>
      <c r="R1013" s="29"/>
      <c r="S1013" s="29"/>
      <c r="T1013" s="29"/>
      <c r="U1013" s="29"/>
      <c r="V1013" s="29"/>
      <c r="W1013" s="29">
        <f t="shared" si="123"/>
        <v>0</v>
      </c>
      <c r="X1013" s="29"/>
      <c r="Y1013" s="29">
        <f t="shared" si="119"/>
        <v>0</v>
      </c>
    </row>
    <row r="1014" spans="1:25" ht="18.75" customHeight="1" hidden="1">
      <c r="A1014" s="121"/>
      <c r="B1014" s="121"/>
      <c r="C1014" s="293"/>
      <c r="D1014" s="49"/>
      <c r="E1014" s="28"/>
      <c r="F1014" s="29"/>
      <c r="G1014" s="114"/>
      <c r="H1014" s="29"/>
      <c r="I1014" s="235"/>
      <c r="J1014" s="7"/>
      <c r="K1014" s="29"/>
      <c r="L1014" s="29"/>
      <c r="M1014" s="29"/>
      <c r="N1014" s="29"/>
      <c r="O1014" s="29"/>
      <c r="P1014" s="29"/>
      <c r="Q1014" s="29"/>
      <c r="R1014" s="29"/>
      <c r="S1014" s="29"/>
      <c r="T1014" s="29"/>
      <c r="U1014" s="29"/>
      <c r="V1014" s="29"/>
      <c r="W1014" s="29">
        <f t="shared" si="123"/>
        <v>0</v>
      </c>
      <c r="X1014" s="29"/>
      <c r="Y1014" s="29">
        <f t="shared" si="119"/>
        <v>0</v>
      </c>
    </row>
    <row r="1015" spans="1:25" ht="18.75" customHeight="1" hidden="1">
      <c r="A1015" s="121"/>
      <c r="B1015" s="121"/>
      <c r="C1015" s="293"/>
      <c r="D1015" s="49"/>
      <c r="E1015" s="28"/>
      <c r="F1015" s="29"/>
      <c r="G1015" s="114"/>
      <c r="H1015" s="29"/>
      <c r="I1015" s="235"/>
      <c r="J1015" s="7"/>
      <c r="K1015" s="29"/>
      <c r="L1015" s="29"/>
      <c r="M1015" s="29"/>
      <c r="N1015" s="29"/>
      <c r="O1015" s="29"/>
      <c r="P1015" s="29"/>
      <c r="Q1015" s="29"/>
      <c r="R1015" s="29"/>
      <c r="S1015" s="29"/>
      <c r="T1015" s="29"/>
      <c r="U1015" s="29"/>
      <c r="V1015" s="29"/>
      <c r="W1015" s="29">
        <f t="shared" si="123"/>
        <v>0</v>
      </c>
      <c r="X1015" s="29"/>
      <c r="Y1015" s="29">
        <f t="shared" si="119"/>
        <v>0</v>
      </c>
    </row>
    <row r="1016" spans="1:25" ht="18.75" customHeight="1" hidden="1">
      <c r="A1016" s="121"/>
      <c r="B1016" s="121"/>
      <c r="C1016" s="293"/>
      <c r="D1016" s="49"/>
      <c r="E1016" s="28"/>
      <c r="F1016" s="29"/>
      <c r="G1016" s="114"/>
      <c r="H1016" s="29"/>
      <c r="I1016" s="235"/>
      <c r="J1016" s="7"/>
      <c r="K1016" s="29"/>
      <c r="L1016" s="29"/>
      <c r="M1016" s="29"/>
      <c r="N1016" s="29"/>
      <c r="O1016" s="29"/>
      <c r="P1016" s="29"/>
      <c r="Q1016" s="29"/>
      <c r="R1016" s="29"/>
      <c r="S1016" s="29"/>
      <c r="T1016" s="29"/>
      <c r="U1016" s="29"/>
      <c r="V1016" s="29"/>
      <c r="W1016" s="29">
        <f t="shared" si="123"/>
        <v>0</v>
      </c>
      <c r="X1016" s="29"/>
      <c r="Y1016" s="29">
        <f t="shared" si="119"/>
        <v>0</v>
      </c>
    </row>
    <row r="1017" spans="1:25" ht="18.75" customHeight="1" hidden="1">
      <c r="A1017" s="121"/>
      <c r="B1017" s="121"/>
      <c r="C1017" s="293"/>
      <c r="D1017" s="49"/>
      <c r="E1017" s="28"/>
      <c r="F1017" s="29"/>
      <c r="G1017" s="114"/>
      <c r="H1017" s="29"/>
      <c r="I1017" s="235"/>
      <c r="J1017" s="7"/>
      <c r="K1017" s="29"/>
      <c r="L1017" s="29"/>
      <c r="M1017" s="29"/>
      <c r="N1017" s="29"/>
      <c r="O1017" s="29"/>
      <c r="P1017" s="29"/>
      <c r="Q1017" s="29"/>
      <c r="R1017" s="29"/>
      <c r="S1017" s="29"/>
      <c r="T1017" s="29"/>
      <c r="U1017" s="29"/>
      <c r="V1017" s="29"/>
      <c r="W1017" s="29">
        <f t="shared" si="123"/>
        <v>0</v>
      </c>
      <c r="X1017" s="29"/>
      <c r="Y1017" s="29">
        <f t="shared" si="119"/>
        <v>0</v>
      </c>
    </row>
    <row r="1018" spans="1:25" ht="18.75" customHeight="1" hidden="1">
      <c r="A1018" s="126"/>
      <c r="B1018" s="126"/>
      <c r="C1018" s="292"/>
      <c r="D1018" s="51"/>
      <c r="E1018" s="28"/>
      <c r="F1018" s="29"/>
      <c r="G1018" s="114"/>
      <c r="H1018" s="122"/>
      <c r="I1018" s="234"/>
      <c r="J1018" s="7"/>
      <c r="K1018" s="29"/>
      <c r="L1018" s="29"/>
      <c r="M1018" s="29"/>
      <c r="N1018" s="29"/>
      <c r="O1018" s="29"/>
      <c r="P1018" s="29"/>
      <c r="Q1018" s="29"/>
      <c r="R1018" s="29"/>
      <c r="S1018" s="29"/>
      <c r="T1018" s="29"/>
      <c r="U1018" s="29"/>
      <c r="V1018" s="29"/>
      <c r="W1018" s="29">
        <f t="shared" si="123"/>
        <v>0</v>
      </c>
      <c r="X1018" s="29"/>
      <c r="Y1018" s="29">
        <f t="shared" si="119"/>
        <v>0</v>
      </c>
    </row>
    <row r="1019" spans="1:25" ht="18.75" customHeight="1" hidden="1">
      <c r="A1019" s="120"/>
      <c r="B1019" s="120"/>
      <c r="C1019" s="291" t="s">
        <v>419</v>
      </c>
      <c r="D1019" s="48"/>
      <c r="E1019" s="73"/>
      <c r="F1019" s="29"/>
      <c r="G1019" s="114"/>
      <c r="H1019" s="122"/>
      <c r="I1019" s="234"/>
      <c r="J1019" s="60">
        <f>SUM(J1020:J1024)</f>
        <v>0</v>
      </c>
      <c r="K1019" s="29"/>
      <c r="L1019" s="29"/>
      <c r="M1019" s="29"/>
      <c r="N1019" s="29"/>
      <c r="O1019" s="29"/>
      <c r="P1019" s="29"/>
      <c r="Q1019" s="29"/>
      <c r="R1019" s="29"/>
      <c r="S1019" s="29"/>
      <c r="T1019" s="29"/>
      <c r="U1019" s="29"/>
      <c r="V1019" s="29"/>
      <c r="W1019" s="29">
        <f t="shared" si="123"/>
        <v>0</v>
      </c>
      <c r="X1019" s="29"/>
      <c r="Y1019" s="29">
        <f t="shared" si="119"/>
        <v>0</v>
      </c>
    </row>
    <row r="1020" spans="1:25" ht="18.75" customHeight="1" hidden="1">
      <c r="A1020" s="121"/>
      <c r="B1020" s="121"/>
      <c r="C1020" s="293"/>
      <c r="D1020" s="49"/>
      <c r="E1020" s="28"/>
      <c r="F1020" s="29"/>
      <c r="G1020" s="114"/>
      <c r="H1020" s="122"/>
      <c r="I1020" s="234"/>
      <c r="J1020" s="7"/>
      <c r="K1020" s="29"/>
      <c r="L1020" s="29"/>
      <c r="M1020" s="29"/>
      <c r="N1020" s="29"/>
      <c r="O1020" s="29"/>
      <c r="P1020" s="29"/>
      <c r="Q1020" s="29"/>
      <c r="R1020" s="29"/>
      <c r="S1020" s="29"/>
      <c r="T1020" s="29"/>
      <c r="U1020" s="29"/>
      <c r="V1020" s="29"/>
      <c r="W1020" s="29">
        <f t="shared" si="123"/>
        <v>0</v>
      </c>
      <c r="X1020" s="29"/>
      <c r="Y1020" s="29">
        <f t="shared" si="119"/>
        <v>0</v>
      </c>
    </row>
    <row r="1021" spans="1:25" ht="18.75" customHeight="1" hidden="1">
      <c r="A1021" s="121"/>
      <c r="B1021" s="121"/>
      <c r="C1021" s="293"/>
      <c r="D1021" s="49"/>
      <c r="E1021" s="28"/>
      <c r="F1021" s="29"/>
      <c r="G1021" s="114"/>
      <c r="H1021" s="122"/>
      <c r="I1021" s="234"/>
      <c r="J1021" s="7"/>
      <c r="K1021" s="29"/>
      <c r="L1021" s="29"/>
      <c r="M1021" s="29"/>
      <c r="N1021" s="29"/>
      <c r="O1021" s="29"/>
      <c r="P1021" s="29"/>
      <c r="Q1021" s="29"/>
      <c r="R1021" s="29"/>
      <c r="S1021" s="29"/>
      <c r="T1021" s="29"/>
      <c r="U1021" s="29"/>
      <c r="V1021" s="29"/>
      <c r="W1021" s="29">
        <f t="shared" si="123"/>
        <v>0</v>
      </c>
      <c r="X1021" s="29"/>
      <c r="Y1021" s="29">
        <f t="shared" si="119"/>
        <v>0</v>
      </c>
    </row>
    <row r="1022" spans="1:25" ht="18.75" customHeight="1" hidden="1">
      <c r="A1022" s="121"/>
      <c r="B1022" s="121"/>
      <c r="C1022" s="293"/>
      <c r="D1022" s="49"/>
      <c r="E1022" s="28"/>
      <c r="F1022" s="29"/>
      <c r="G1022" s="114"/>
      <c r="H1022" s="29"/>
      <c r="I1022" s="235"/>
      <c r="J1022" s="7"/>
      <c r="K1022" s="29"/>
      <c r="L1022" s="29"/>
      <c r="M1022" s="29"/>
      <c r="N1022" s="29"/>
      <c r="O1022" s="29"/>
      <c r="P1022" s="29"/>
      <c r="Q1022" s="29"/>
      <c r="R1022" s="29"/>
      <c r="S1022" s="29"/>
      <c r="T1022" s="29"/>
      <c r="U1022" s="29"/>
      <c r="V1022" s="29"/>
      <c r="W1022" s="29">
        <f t="shared" si="123"/>
        <v>0</v>
      </c>
      <c r="X1022" s="29"/>
      <c r="Y1022" s="29">
        <f t="shared" si="119"/>
        <v>0</v>
      </c>
    </row>
    <row r="1023" spans="1:25" ht="18.75" customHeight="1" hidden="1">
      <c r="A1023" s="121"/>
      <c r="B1023" s="121"/>
      <c r="C1023" s="293"/>
      <c r="D1023" s="49"/>
      <c r="E1023" s="28"/>
      <c r="F1023" s="29"/>
      <c r="G1023" s="114"/>
      <c r="H1023" s="29"/>
      <c r="I1023" s="235"/>
      <c r="J1023" s="7"/>
      <c r="K1023" s="29"/>
      <c r="L1023" s="29"/>
      <c r="M1023" s="29"/>
      <c r="N1023" s="29"/>
      <c r="O1023" s="29"/>
      <c r="P1023" s="29"/>
      <c r="Q1023" s="29"/>
      <c r="R1023" s="29"/>
      <c r="S1023" s="29"/>
      <c r="T1023" s="29"/>
      <c r="U1023" s="29"/>
      <c r="V1023" s="29"/>
      <c r="W1023" s="29">
        <f t="shared" si="123"/>
        <v>0</v>
      </c>
      <c r="X1023" s="29"/>
      <c r="Y1023" s="29">
        <f t="shared" si="119"/>
        <v>0</v>
      </c>
    </row>
    <row r="1024" spans="1:25" ht="18.75" customHeight="1" hidden="1">
      <c r="A1024" s="126"/>
      <c r="B1024" s="126"/>
      <c r="C1024" s="292"/>
      <c r="D1024" s="51"/>
      <c r="E1024" s="28"/>
      <c r="F1024" s="29"/>
      <c r="G1024" s="114"/>
      <c r="H1024" s="29"/>
      <c r="I1024" s="235"/>
      <c r="J1024" s="7"/>
      <c r="K1024" s="29"/>
      <c r="L1024" s="29"/>
      <c r="M1024" s="29"/>
      <c r="N1024" s="29"/>
      <c r="O1024" s="29"/>
      <c r="P1024" s="29"/>
      <c r="Q1024" s="29"/>
      <c r="R1024" s="29"/>
      <c r="S1024" s="29"/>
      <c r="T1024" s="29"/>
      <c r="U1024" s="29"/>
      <c r="V1024" s="29"/>
      <c r="W1024" s="29">
        <f t="shared" si="123"/>
        <v>0</v>
      </c>
      <c r="X1024" s="29"/>
      <c r="Y1024" s="29">
        <f t="shared" si="119"/>
        <v>0</v>
      </c>
    </row>
    <row r="1025" spans="1:25" ht="18.75" customHeight="1" hidden="1">
      <c r="A1025" s="120"/>
      <c r="B1025" s="120"/>
      <c r="C1025" s="291" t="s">
        <v>420</v>
      </c>
      <c r="D1025" s="48"/>
      <c r="E1025" s="73"/>
      <c r="F1025" s="29"/>
      <c r="G1025" s="114"/>
      <c r="H1025" s="122"/>
      <c r="I1025" s="234"/>
      <c r="J1025" s="60">
        <f>SUM(J1026:J1027)</f>
        <v>0</v>
      </c>
      <c r="K1025" s="29"/>
      <c r="L1025" s="29"/>
      <c r="M1025" s="29"/>
      <c r="N1025" s="29"/>
      <c r="O1025" s="29"/>
      <c r="P1025" s="29"/>
      <c r="Q1025" s="29"/>
      <c r="R1025" s="29"/>
      <c r="S1025" s="29"/>
      <c r="T1025" s="29"/>
      <c r="U1025" s="29"/>
      <c r="V1025" s="29"/>
      <c r="W1025" s="29">
        <f t="shared" si="123"/>
        <v>0</v>
      </c>
      <c r="X1025" s="29"/>
      <c r="Y1025" s="29">
        <f t="shared" si="119"/>
        <v>0</v>
      </c>
    </row>
    <row r="1026" spans="1:25" ht="18.75" customHeight="1" hidden="1">
      <c r="A1026" s="121"/>
      <c r="B1026" s="121"/>
      <c r="C1026" s="293"/>
      <c r="D1026" s="49"/>
      <c r="E1026" s="73"/>
      <c r="F1026" s="29"/>
      <c r="G1026" s="114"/>
      <c r="H1026" s="122"/>
      <c r="I1026" s="234"/>
      <c r="J1026" s="54"/>
      <c r="K1026" s="29"/>
      <c r="L1026" s="29"/>
      <c r="M1026" s="29"/>
      <c r="N1026" s="29"/>
      <c r="O1026" s="29"/>
      <c r="P1026" s="29"/>
      <c r="Q1026" s="29"/>
      <c r="R1026" s="29"/>
      <c r="S1026" s="29"/>
      <c r="T1026" s="29"/>
      <c r="U1026" s="29"/>
      <c r="V1026" s="29"/>
      <c r="W1026" s="29">
        <f t="shared" si="123"/>
        <v>0</v>
      </c>
      <c r="X1026" s="29"/>
      <c r="Y1026" s="29">
        <f t="shared" si="119"/>
        <v>0</v>
      </c>
    </row>
    <row r="1027" spans="1:25" ht="18.75" customHeight="1" hidden="1">
      <c r="A1027" s="124"/>
      <c r="B1027" s="124"/>
      <c r="C1027" s="292"/>
      <c r="D1027" s="51"/>
      <c r="E1027" s="28"/>
      <c r="F1027" s="3"/>
      <c r="G1027" s="114"/>
      <c r="H1027" s="137"/>
      <c r="I1027" s="234"/>
      <c r="J1027" s="29"/>
      <c r="K1027" s="29"/>
      <c r="L1027" s="29"/>
      <c r="M1027" s="29"/>
      <c r="N1027" s="29"/>
      <c r="O1027" s="29"/>
      <c r="P1027" s="29"/>
      <c r="Q1027" s="29"/>
      <c r="R1027" s="29"/>
      <c r="S1027" s="29"/>
      <c r="T1027" s="29"/>
      <c r="U1027" s="29"/>
      <c r="V1027" s="29"/>
      <c r="W1027" s="29">
        <f t="shared" si="123"/>
        <v>0</v>
      </c>
      <c r="X1027" s="29"/>
      <c r="Y1027" s="29">
        <f t="shared" si="119"/>
        <v>0</v>
      </c>
    </row>
    <row r="1028" spans="1:25" ht="18.75" customHeight="1" hidden="1">
      <c r="A1028" s="9"/>
      <c r="B1028" s="9"/>
      <c r="C1028" s="306" t="s">
        <v>80</v>
      </c>
      <c r="D1028" s="45"/>
      <c r="E1028" s="73"/>
      <c r="F1028" s="135"/>
      <c r="G1028" s="114"/>
      <c r="H1028" s="135"/>
      <c r="I1028" s="233"/>
      <c r="J1028" s="60">
        <f>J1029</f>
        <v>0</v>
      </c>
      <c r="K1028" s="29"/>
      <c r="L1028" s="29"/>
      <c r="M1028" s="29"/>
      <c r="N1028" s="29"/>
      <c r="O1028" s="29"/>
      <c r="P1028" s="29"/>
      <c r="Q1028" s="29"/>
      <c r="R1028" s="29"/>
      <c r="S1028" s="29"/>
      <c r="T1028" s="29"/>
      <c r="U1028" s="29"/>
      <c r="V1028" s="29"/>
      <c r="W1028" s="29">
        <f t="shared" si="123"/>
        <v>0</v>
      </c>
      <c r="X1028" s="29"/>
      <c r="Y1028" s="29">
        <f t="shared" si="119"/>
        <v>0</v>
      </c>
    </row>
    <row r="1029" spans="1:25" ht="18.75" customHeight="1" hidden="1">
      <c r="A1029" s="9"/>
      <c r="B1029" s="9"/>
      <c r="C1029" s="306"/>
      <c r="D1029" s="45"/>
      <c r="E1029" s="28"/>
      <c r="F1029" s="3"/>
      <c r="G1029" s="114"/>
      <c r="H1029" s="140"/>
      <c r="I1029" s="225"/>
      <c r="J1029" s="79"/>
      <c r="K1029" s="29"/>
      <c r="L1029" s="29"/>
      <c r="M1029" s="29"/>
      <c r="N1029" s="29"/>
      <c r="O1029" s="29"/>
      <c r="P1029" s="29"/>
      <c r="Q1029" s="29"/>
      <c r="R1029" s="29"/>
      <c r="S1029" s="29"/>
      <c r="T1029" s="29"/>
      <c r="U1029" s="29"/>
      <c r="V1029" s="29"/>
      <c r="W1029" s="29">
        <f t="shared" si="123"/>
        <v>0</v>
      </c>
      <c r="X1029" s="29"/>
      <c r="Y1029" s="29">
        <f aca="true" t="shared" si="127" ref="Y1029:Y1092">K1029+L1029+M1029+N1029+O1029+P1029+Q1029+R1029+S1029+T1029-X1029</f>
        <v>0</v>
      </c>
    </row>
    <row r="1030" spans="1:25" ht="18.75" customHeight="1" hidden="1">
      <c r="A1030" s="8"/>
      <c r="B1030" s="8"/>
      <c r="C1030" s="309" t="s">
        <v>80</v>
      </c>
      <c r="D1030" s="83"/>
      <c r="E1030" s="74"/>
      <c r="F1030" s="14"/>
      <c r="G1030" s="114"/>
      <c r="H1030" s="141"/>
      <c r="I1030" s="236"/>
      <c r="J1030" s="79">
        <f>J1031</f>
        <v>0</v>
      </c>
      <c r="K1030" s="29"/>
      <c r="L1030" s="29"/>
      <c r="M1030" s="29"/>
      <c r="N1030" s="29"/>
      <c r="O1030" s="29"/>
      <c r="P1030" s="29"/>
      <c r="Q1030" s="29"/>
      <c r="R1030" s="29"/>
      <c r="S1030" s="29"/>
      <c r="T1030" s="29"/>
      <c r="U1030" s="29"/>
      <c r="V1030" s="29"/>
      <c r="W1030" s="29">
        <f t="shared" si="123"/>
        <v>0</v>
      </c>
      <c r="X1030" s="29"/>
      <c r="Y1030" s="29">
        <f t="shared" si="127"/>
        <v>0</v>
      </c>
    </row>
    <row r="1031" spans="1:25" ht="18.75" customHeight="1" hidden="1">
      <c r="A1031" s="8"/>
      <c r="B1031" s="8"/>
      <c r="C1031" s="309"/>
      <c r="D1031" s="83"/>
      <c r="E1031" s="28"/>
      <c r="F1031" s="14"/>
      <c r="G1031" s="114"/>
      <c r="H1031" s="141"/>
      <c r="I1031" s="236"/>
      <c r="J1031" s="47"/>
      <c r="K1031" s="29"/>
      <c r="L1031" s="29"/>
      <c r="M1031" s="29"/>
      <c r="N1031" s="29"/>
      <c r="O1031" s="29"/>
      <c r="P1031" s="29"/>
      <c r="Q1031" s="29"/>
      <c r="R1031" s="29"/>
      <c r="S1031" s="29"/>
      <c r="T1031" s="29"/>
      <c r="U1031" s="29"/>
      <c r="V1031" s="29"/>
      <c r="W1031" s="29">
        <f t="shared" si="123"/>
        <v>0</v>
      </c>
      <c r="X1031" s="29"/>
      <c r="Y1031" s="29">
        <f t="shared" si="127"/>
        <v>0</v>
      </c>
    </row>
    <row r="1032" spans="1:25" ht="18.75" customHeight="1" hidden="1">
      <c r="A1032" s="8"/>
      <c r="B1032" s="8"/>
      <c r="C1032" s="309"/>
      <c r="D1032" s="83"/>
      <c r="E1032" s="28"/>
      <c r="F1032" s="14"/>
      <c r="G1032" s="114"/>
      <c r="H1032" s="141"/>
      <c r="I1032" s="236"/>
      <c r="J1032" s="47"/>
      <c r="K1032" s="29"/>
      <c r="L1032" s="29"/>
      <c r="M1032" s="29"/>
      <c r="N1032" s="29"/>
      <c r="O1032" s="29"/>
      <c r="P1032" s="29"/>
      <c r="Q1032" s="29"/>
      <c r="R1032" s="29"/>
      <c r="S1032" s="29"/>
      <c r="T1032" s="29"/>
      <c r="U1032" s="29"/>
      <c r="V1032" s="29"/>
      <c r="W1032" s="29">
        <f t="shared" si="123"/>
        <v>0</v>
      </c>
      <c r="X1032" s="29"/>
      <c r="Y1032" s="29">
        <f t="shared" si="127"/>
        <v>0</v>
      </c>
    </row>
    <row r="1033" spans="3:25" ht="18" hidden="1">
      <c r="C1033" s="37"/>
      <c r="D1033" s="37"/>
      <c r="E1033" s="129"/>
      <c r="F1033" s="130"/>
      <c r="G1033" s="131"/>
      <c r="H1033" s="142"/>
      <c r="I1033" s="237"/>
      <c r="J1033" s="35">
        <f>J1034</f>
        <v>0</v>
      </c>
      <c r="K1033" s="29"/>
      <c r="L1033" s="29"/>
      <c r="M1033" s="29"/>
      <c r="N1033" s="29"/>
      <c r="O1033" s="29"/>
      <c r="P1033" s="29"/>
      <c r="Q1033" s="29"/>
      <c r="R1033" s="29"/>
      <c r="S1033" s="29"/>
      <c r="T1033" s="29"/>
      <c r="U1033" s="29"/>
      <c r="V1033" s="29"/>
      <c r="W1033" s="29">
        <f t="shared" si="123"/>
        <v>0</v>
      </c>
      <c r="X1033" s="29"/>
      <c r="Y1033" s="29">
        <f t="shared" si="127"/>
        <v>0</v>
      </c>
    </row>
    <row r="1034" spans="3:25" ht="18.75" customHeight="1" hidden="1">
      <c r="C1034" s="314" t="s">
        <v>79</v>
      </c>
      <c r="D1034" s="63"/>
      <c r="E1034" s="86"/>
      <c r="F1034" s="29"/>
      <c r="G1034" s="133"/>
      <c r="H1034" s="122"/>
      <c r="I1034" s="234"/>
      <c r="J1034" s="31">
        <f>J1035</f>
        <v>0</v>
      </c>
      <c r="K1034" s="29"/>
      <c r="L1034" s="29"/>
      <c r="M1034" s="29"/>
      <c r="N1034" s="29"/>
      <c r="O1034" s="29"/>
      <c r="P1034" s="29"/>
      <c r="Q1034" s="29"/>
      <c r="R1034" s="29"/>
      <c r="S1034" s="29"/>
      <c r="T1034" s="29"/>
      <c r="U1034" s="29"/>
      <c r="V1034" s="29"/>
      <c r="W1034" s="29">
        <f t="shared" si="123"/>
        <v>0</v>
      </c>
      <c r="X1034" s="29"/>
      <c r="Y1034" s="29">
        <f t="shared" si="127"/>
        <v>0</v>
      </c>
    </row>
    <row r="1035" spans="3:25" ht="18.75" customHeight="1" hidden="1">
      <c r="C1035" s="315"/>
      <c r="D1035" s="143"/>
      <c r="E1035" s="86"/>
      <c r="F1035" s="29"/>
      <c r="G1035" s="133"/>
      <c r="H1035" s="122"/>
      <c r="I1035" s="234"/>
      <c r="J1035" s="29"/>
      <c r="K1035" s="29"/>
      <c r="L1035" s="29"/>
      <c r="M1035" s="29"/>
      <c r="N1035" s="29"/>
      <c r="O1035" s="29"/>
      <c r="P1035" s="29"/>
      <c r="Q1035" s="29"/>
      <c r="R1035" s="29"/>
      <c r="S1035" s="29"/>
      <c r="T1035" s="29"/>
      <c r="U1035" s="29"/>
      <c r="V1035" s="29"/>
      <c r="W1035" s="29">
        <f t="shared" si="123"/>
        <v>0</v>
      </c>
      <c r="X1035" s="29"/>
      <c r="Y1035" s="29">
        <f t="shared" si="127"/>
        <v>0</v>
      </c>
    </row>
    <row r="1036" spans="3:25" ht="18" hidden="1">
      <c r="C1036" s="37"/>
      <c r="D1036" s="37"/>
      <c r="E1036" s="129"/>
      <c r="F1036" s="130"/>
      <c r="G1036" s="131"/>
      <c r="H1036" s="142"/>
      <c r="I1036" s="237"/>
      <c r="J1036" s="35">
        <f>J1042+J1048+J1053+J1057+J1062+J1066+J1072+J1077+J1084+J1055+J1037+J1075+J1083</f>
        <v>0</v>
      </c>
      <c r="K1036" s="29"/>
      <c r="L1036" s="29"/>
      <c r="M1036" s="29"/>
      <c r="N1036" s="29"/>
      <c r="O1036" s="29"/>
      <c r="P1036" s="29"/>
      <c r="Q1036" s="29"/>
      <c r="R1036" s="29"/>
      <c r="S1036" s="29"/>
      <c r="T1036" s="29"/>
      <c r="U1036" s="29"/>
      <c r="V1036" s="29"/>
      <c r="W1036" s="29">
        <f t="shared" si="123"/>
        <v>0</v>
      </c>
      <c r="X1036" s="29"/>
      <c r="Y1036" s="29">
        <f t="shared" si="127"/>
        <v>0</v>
      </c>
    </row>
    <row r="1037" spans="3:25" ht="18.75" customHeight="1" hidden="1">
      <c r="C1037" s="310" t="s">
        <v>79</v>
      </c>
      <c r="D1037" s="71"/>
      <c r="E1037" s="86"/>
      <c r="F1037" s="29"/>
      <c r="G1037" s="133"/>
      <c r="H1037" s="122"/>
      <c r="I1037" s="234"/>
      <c r="J1037" s="31">
        <f>SUM(J1038:J1041)</f>
        <v>0</v>
      </c>
      <c r="K1037" s="29"/>
      <c r="L1037" s="29"/>
      <c r="M1037" s="29"/>
      <c r="N1037" s="29"/>
      <c r="O1037" s="29"/>
      <c r="P1037" s="29"/>
      <c r="Q1037" s="29"/>
      <c r="R1037" s="29"/>
      <c r="S1037" s="29"/>
      <c r="T1037" s="29"/>
      <c r="U1037" s="29"/>
      <c r="V1037" s="29"/>
      <c r="W1037" s="29">
        <f t="shared" si="123"/>
        <v>0</v>
      </c>
      <c r="X1037" s="29"/>
      <c r="Y1037" s="29">
        <f t="shared" si="127"/>
        <v>0</v>
      </c>
    </row>
    <row r="1038" spans="3:25" ht="18.75" customHeight="1" hidden="1">
      <c r="C1038" s="312"/>
      <c r="D1038" s="85"/>
      <c r="E1038" s="86"/>
      <c r="F1038" s="29"/>
      <c r="G1038" s="133"/>
      <c r="H1038" s="122"/>
      <c r="I1038" s="234"/>
      <c r="J1038" s="29"/>
      <c r="K1038" s="29"/>
      <c r="L1038" s="29"/>
      <c r="M1038" s="29"/>
      <c r="N1038" s="29"/>
      <c r="O1038" s="29"/>
      <c r="P1038" s="29"/>
      <c r="Q1038" s="29"/>
      <c r="R1038" s="29"/>
      <c r="S1038" s="29"/>
      <c r="T1038" s="29"/>
      <c r="U1038" s="29"/>
      <c r="V1038" s="29"/>
      <c r="W1038" s="29">
        <f t="shared" si="123"/>
        <v>0</v>
      </c>
      <c r="X1038" s="29"/>
      <c r="Y1038" s="29">
        <f t="shared" si="127"/>
        <v>0</v>
      </c>
    </row>
    <row r="1039" spans="3:25" ht="54.75" customHeight="1" hidden="1">
      <c r="C1039" s="312"/>
      <c r="D1039" s="85"/>
      <c r="E1039" s="28"/>
      <c r="F1039" s="29"/>
      <c r="G1039" s="133"/>
      <c r="H1039" s="122"/>
      <c r="I1039" s="234"/>
      <c r="J1039" s="29"/>
      <c r="K1039" s="29"/>
      <c r="L1039" s="29"/>
      <c r="M1039" s="29"/>
      <c r="N1039" s="29"/>
      <c r="O1039" s="29"/>
      <c r="P1039" s="29"/>
      <c r="Q1039" s="29"/>
      <c r="R1039" s="29"/>
      <c r="S1039" s="29"/>
      <c r="T1039" s="29"/>
      <c r="U1039" s="29"/>
      <c r="V1039" s="29"/>
      <c r="W1039" s="29">
        <f t="shared" si="123"/>
        <v>0</v>
      </c>
      <c r="X1039" s="29"/>
      <c r="Y1039" s="29">
        <f t="shared" si="127"/>
        <v>0</v>
      </c>
    </row>
    <row r="1040" spans="3:25" ht="18.75" customHeight="1" hidden="1">
      <c r="C1040" s="312"/>
      <c r="D1040" s="85"/>
      <c r="E1040" s="28"/>
      <c r="F1040" s="29"/>
      <c r="G1040" s="133"/>
      <c r="H1040" s="122"/>
      <c r="I1040" s="234"/>
      <c r="J1040" s="29"/>
      <c r="K1040" s="29"/>
      <c r="L1040" s="29"/>
      <c r="M1040" s="29"/>
      <c r="N1040" s="29"/>
      <c r="O1040" s="29"/>
      <c r="P1040" s="29"/>
      <c r="Q1040" s="29"/>
      <c r="R1040" s="29"/>
      <c r="S1040" s="29"/>
      <c r="T1040" s="29"/>
      <c r="U1040" s="29"/>
      <c r="V1040" s="29"/>
      <c r="W1040" s="29">
        <f t="shared" si="123"/>
        <v>0</v>
      </c>
      <c r="X1040" s="29"/>
      <c r="Y1040" s="29">
        <f t="shared" si="127"/>
        <v>0</v>
      </c>
    </row>
    <row r="1041" spans="3:25" ht="18.75" customHeight="1" hidden="1">
      <c r="C1041" s="311"/>
      <c r="D1041" s="144"/>
      <c r="E1041" s="28"/>
      <c r="F1041" s="29"/>
      <c r="G1041" s="136"/>
      <c r="H1041" s="122"/>
      <c r="I1041" s="234"/>
      <c r="J1041" s="47"/>
      <c r="K1041" s="29"/>
      <c r="L1041" s="29"/>
      <c r="M1041" s="29"/>
      <c r="N1041" s="29"/>
      <c r="O1041" s="29"/>
      <c r="P1041" s="29"/>
      <c r="Q1041" s="29"/>
      <c r="R1041" s="29"/>
      <c r="S1041" s="29"/>
      <c r="T1041" s="29"/>
      <c r="U1041" s="29"/>
      <c r="V1041" s="29"/>
      <c r="W1041" s="29">
        <f t="shared" si="123"/>
        <v>0</v>
      </c>
      <c r="X1041" s="29"/>
      <c r="Y1041" s="29">
        <f t="shared" si="127"/>
        <v>0</v>
      </c>
    </row>
    <row r="1042" spans="1:25" ht="18.75" customHeight="1" hidden="1">
      <c r="A1042" s="120"/>
      <c r="B1042" s="120"/>
      <c r="C1042" s="294" t="s">
        <v>84</v>
      </c>
      <c r="D1042" s="41"/>
      <c r="E1042" s="86"/>
      <c r="F1042" s="29"/>
      <c r="G1042" s="133"/>
      <c r="H1042" s="122"/>
      <c r="I1042" s="234"/>
      <c r="J1042" s="31">
        <f>SUM(J1043:J1047)</f>
        <v>0</v>
      </c>
      <c r="K1042" s="29"/>
      <c r="L1042" s="29"/>
      <c r="M1042" s="29"/>
      <c r="N1042" s="29"/>
      <c r="O1042" s="29"/>
      <c r="P1042" s="29"/>
      <c r="Q1042" s="29"/>
      <c r="R1042" s="29"/>
      <c r="S1042" s="29"/>
      <c r="T1042" s="29"/>
      <c r="U1042" s="29"/>
      <c r="V1042" s="29"/>
      <c r="W1042" s="29">
        <f t="shared" si="123"/>
        <v>0</v>
      </c>
      <c r="X1042" s="29"/>
      <c r="Y1042" s="29">
        <f t="shared" si="127"/>
        <v>0</v>
      </c>
    </row>
    <row r="1043" spans="1:25" ht="18.75" customHeight="1" hidden="1">
      <c r="A1043" s="121"/>
      <c r="B1043" s="121"/>
      <c r="C1043" s="295"/>
      <c r="D1043" s="42"/>
      <c r="E1043" s="28"/>
      <c r="F1043" s="29"/>
      <c r="G1043" s="114"/>
      <c r="H1043" s="122"/>
      <c r="I1043" s="234"/>
      <c r="J1043" s="54"/>
      <c r="K1043" s="29"/>
      <c r="L1043" s="29"/>
      <c r="M1043" s="29"/>
      <c r="N1043" s="29"/>
      <c r="O1043" s="29"/>
      <c r="P1043" s="29"/>
      <c r="Q1043" s="29"/>
      <c r="R1043" s="29"/>
      <c r="S1043" s="29"/>
      <c r="T1043" s="29"/>
      <c r="U1043" s="29"/>
      <c r="V1043" s="29"/>
      <c r="W1043" s="29">
        <f t="shared" si="123"/>
        <v>0</v>
      </c>
      <c r="X1043" s="29"/>
      <c r="Y1043" s="29">
        <f t="shared" si="127"/>
        <v>0</v>
      </c>
    </row>
    <row r="1044" spans="1:25" ht="18.75" customHeight="1" hidden="1">
      <c r="A1044" s="121"/>
      <c r="B1044" s="121"/>
      <c r="C1044" s="295"/>
      <c r="D1044" s="42"/>
      <c r="E1044" s="28"/>
      <c r="F1044" s="29"/>
      <c r="G1044" s="114"/>
      <c r="H1044" s="122"/>
      <c r="I1044" s="234"/>
      <c r="J1044" s="54"/>
      <c r="K1044" s="29"/>
      <c r="L1044" s="29"/>
      <c r="M1044" s="29"/>
      <c r="N1044" s="29"/>
      <c r="O1044" s="29"/>
      <c r="P1044" s="29"/>
      <c r="Q1044" s="29"/>
      <c r="R1044" s="29"/>
      <c r="S1044" s="29"/>
      <c r="T1044" s="29"/>
      <c r="U1044" s="29"/>
      <c r="V1044" s="29"/>
      <c r="W1044" s="29">
        <f t="shared" si="123"/>
        <v>0</v>
      </c>
      <c r="X1044" s="29"/>
      <c r="Y1044" s="29">
        <f t="shared" si="127"/>
        <v>0</v>
      </c>
    </row>
    <row r="1045" spans="1:25" ht="18.75" customHeight="1" hidden="1">
      <c r="A1045" s="121"/>
      <c r="B1045" s="121"/>
      <c r="C1045" s="295"/>
      <c r="D1045" s="42"/>
      <c r="E1045" s="28"/>
      <c r="F1045" s="29"/>
      <c r="G1045" s="114"/>
      <c r="H1045" s="122"/>
      <c r="I1045" s="234"/>
      <c r="J1045" s="54"/>
      <c r="K1045" s="29"/>
      <c r="L1045" s="29"/>
      <c r="M1045" s="29"/>
      <c r="N1045" s="29"/>
      <c r="O1045" s="29"/>
      <c r="P1045" s="29"/>
      <c r="Q1045" s="29"/>
      <c r="R1045" s="29"/>
      <c r="S1045" s="29"/>
      <c r="T1045" s="29"/>
      <c r="U1045" s="29"/>
      <c r="V1045" s="29"/>
      <c r="W1045" s="29">
        <f t="shared" si="123"/>
        <v>0</v>
      </c>
      <c r="X1045" s="29"/>
      <c r="Y1045" s="29">
        <f t="shared" si="127"/>
        <v>0</v>
      </c>
    </row>
    <row r="1046" spans="1:25" ht="18.75" customHeight="1" hidden="1">
      <c r="A1046" s="121"/>
      <c r="B1046" s="121"/>
      <c r="C1046" s="295"/>
      <c r="D1046" s="42"/>
      <c r="E1046" s="28"/>
      <c r="F1046" s="29"/>
      <c r="G1046" s="114"/>
      <c r="H1046" s="122"/>
      <c r="I1046" s="234"/>
      <c r="J1046" s="54"/>
      <c r="K1046" s="29"/>
      <c r="L1046" s="29"/>
      <c r="M1046" s="29"/>
      <c r="N1046" s="29"/>
      <c r="O1046" s="29"/>
      <c r="P1046" s="29"/>
      <c r="Q1046" s="29"/>
      <c r="R1046" s="29"/>
      <c r="S1046" s="29"/>
      <c r="T1046" s="29"/>
      <c r="U1046" s="29"/>
      <c r="V1046" s="29"/>
      <c r="W1046" s="29">
        <f t="shared" si="123"/>
        <v>0</v>
      </c>
      <c r="X1046" s="29"/>
      <c r="Y1046" s="29">
        <f t="shared" si="127"/>
        <v>0</v>
      </c>
    </row>
    <row r="1047" spans="1:25" ht="18.75" customHeight="1" hidden="1">
      <c r="A1047" s="123"/>
      <c r="B1047" s="123"/>
      <c r="C1047" s="295"/>
      <c r="D1047" s="42"/>
      <c r="E1047" s="28"/>
      <c r="F1047" s="47"/>
      <c r="G1047" s="114"/>
      <c r="H1047" s="139"/>
      <c r="I1047" s="238"/>
      <c r="J1047" s="47"/>
      <c r="K1047" s="29"/>
      <c r="L1047" s="29"/>
      <c r="M1047" s="29"/>
      <c r="N1047" s="29"/>
      <c r="O1047" s="29"/>
      <c r="P1047" s="29"/>
      <c r="Q1047" s="29"/>
      <c r="R1047" s="29"/>
      <c r="S1047" s="29"/>
      <c r="T1047" s="29"/>
      <c r="U1047" s="29"/>
      <c r="V1047" s="29"/>
      <c r="W1047" s="29">
        <f t="shared" si="123"/>
        <v>0</v>
      </c>
      <c r="X1047" s="29"/>
      <c r="Y1047" s="29">
        <f t="shared" si="127"/>
        <v>0</v>
      </c>
    </row>
    <row r="1048" spans="1:25" ht="18.75" customHeight="1" hidden="1">
      <c r="A1048" s="120"/>
      <c r="B1048" s="120"/>
      <c r="C1048" s="294" t="s">
        <v>85</v>
      </c>
      <c r="D1048" s="41"/>
      <c r="E1048" s="86"/>
      <c r="F1048" s="29"/>
      <c r="G1048" s="133"/>
      <c r="H1048" s="122"/>
      <c r="I1048" s="234"/>
      <c r="J1048" s="31">
        <f>SUM(J1049:J1052)</f>
        <v>0</v>
      </c>
      <c r="K1048" s="29"/>
      <c r="L1048" s="29"/>
      <c r="M1048" s="29"/>
      <c r="N1048" s="29"/>
      <c r="O1048" s="29"/>
      <c r="P1048" s="29"/>
      <c r="Q1048" s="29"/>
      <c r="R1048" s="29"/>
      <c r="S1048" s="29"/>
      <c r="T1048" s="29"/>
      <c r="U1048" s="29"/>
      <c r="V1048" s="29"/>
      <c r="W1048" s="29">
        <f t="shared" si="123"/>
        <v>0</v>
      </c>
      <c r="X1048" s="29"/>
      <c r="Y1048" s="29">
        <f t="shared" si="127"/>
        <v>0</v>
      </c>
    </row>
    <row r="1049" spans="1:25" ht="18.75" customHeight="1" hidden="1">
      <c r="A1049" s="121"/>
      <c r="B1049" s="121"/>
      <c r="C1049" s="295"/>
      <c r="D1049" s="42"/>
      <c r="E1049" s="36"/>
      <c r="F1049" s="40"/>
      <c r="G1049" s="114"/>
      <c r="H1049" s="119"/>
      <c r="I1049" s="239"/>
      <c r="J1049" s="40"/>
      <c r="K1049" s="29"/>
      <c r="L1049" s="29"/>
      <c r="M1049" s="29"/>
      <c r="N1049" s="29"/>
      <c r="O1049" s="29"/>
      <c r="P1049" s="29"/>
      <c r="Q1049" s="29"/>
      <c r="R1049" s="29"/>
      <c r="S1049" s="29"/>
      <c r="T1049" s="29"/>
      <c r="U1049" s="29"/>
      <c r="V1049" s="29"/>
      <c r="W1049" s="29">
        <f t="shared" si="123"/>
        <v>0</v>
      </c>
      <c r="X1049" s="29"/>
      <c r="Y1049" s="29">
        <f t="shared" si="127"/>
        <v>0</v>
      </c>
    </row>
    <row r="1050" spans="1:25" ht="18.75" customHeight="1" hidden="1">
      <c r="A1050" s="121"/>
      <c r="B1050" s="121"/>
      <c r="C1050" s="295"/>
      <c r="D1050" s="42"/>
      <c r="E1050" s="28"/>
      <c r="F1050" s="29"/>
      <c r="G1050" s="114"/>
      <c r="H1050" s="122"/>
      <c r="I1050" s="234"/>
      <c r="J1050" s="54"/>
      <c r="K1050" s="29"/>
      <c r="L1050" s="29"/>
      <c r="M1050" s="29"/>
      <c r="N1050" s="29"/>
      <c r="O1050" s="29"/>
      <c r="P1050" s="29"/>
      <c r="Q1050" s="29"/>
      <c r="R1050" s="29"/>
      <c r="S1050" s="29"/>
      <c r="T1050" s="29"/>
      <c r="U1050" s="29"/>
      <c r="V1050" s="29"/>
      <c r="W1050" s="29">
        <f t="shared" si="123"/>
        <v>0</v>
      </c>
      <c r="X1050" s="29"/>
      <c r="Y1050" s="29">
        <f t="shared" si="127"/>
        <v>0</v>
      </c>
    </row>
    <row r="1051" spans="1:25" ht="39.75" customHeight="1" hidden="1">
      <c r="A1051" s="121"/>
      <c r="B1051" s="121"/>
      <c r="C1051" s="295"/>
      <c r="D1051" s="42"/>
      <c r="E1051" s="28"/>
      <c r="F1051" s="29"/>
      <c r="G1051" s="114"/>
      <c r="H1051" s="122"/>
      <c r="I1051" s="234"/>
      <c r="J1051" s="54"/>
      <c r="K1051" s="29"/>
      <c r="L1051" s="29"/>
      <c r="M1051" s="29"/>
      <c r="N1051" s="29"/>
      <c r="O1051" s="29"/>
      <c r="P1051" s="29"/>
      <c r="Q1051" s="29"/>
      <c r="R1051" s="29"/>
      <c r="S1051" s="29"/>
      <c r="T1051" s="29"/>
      <c r="U1051" s="29"/>
      <c r="V1051" s="29"/>
      <c r="W1051" s="29">
        <f t="shared" si="123"/>
        <v>0</v>
      </c>
      <c r="X1051" s="29"/>
      <c r="Y1051" s="29">
        <f t="shared" si="127"/>
        <v>0</v>
      </c>
    </row>
    <row r="1052" spans="1:25" ht="18.75" customHeight="1" hidden="1">
      <c r="A1052" s="121"/>
      <c r="B1052" s="121"/>
      <c r="C1052" s="295"/>
      <c r="D1052" s="42"/>
      <c r="E1052" s="36"/>
      <c r="F1052" s="40"/>
      <c r="G1052" s="114"/>
      <c r="H1052" s="119"/>
      <c r="I1052" s="239"/>
      <c r="J1052" s="40"/>
      <c r="K1052" s="29"/>
      <c r="L1052" s="29"/>
      <c r="M1052" s="29"/>
      <c r="N1052" s="29"/>
      <c r="O1052" s="29"/>
      <c r="P1052" s="29"/>
      <c r="Q1052" s="29"/>
      <c r="R1052" s="29"/>
      <c r="S1052" s="29"/>
      <c r="T1052" s="29"/>
      <c r="U1052" s="29"/>
      <c r="V1052" s="29"/>
      <c r="W1052" s="29">
        <f t="shared" si="123"/>
        <v>0</v>
      </c>
      <c r="X1052" s="29"/>
      <c r="Y1052" s="29">
        <f t="shared" si="127"/>
        <v>0</v>
      </c>
    </row>
    <row r="1053" spans="1:25" ht="18.75" customHeight="1" hidden="1">
      <c r="A1053" s="120"/>
      <c r="B1053" s="120"/>
      <c r="C1053" s="294" t="s">
        <v>721</v>
      </c>
      <c r="D1053" s="41"/>
      <c r="E1053" s="86"/>
      <c r="F1053" s="29"/>
      <c r="G1053" s="114"/>
      <c r="H1053" s="122"/>
      <c r="I1053" s="234"/>
      <c r="J1053" s="31">
        <f>J1054</f>
        <v>0</v>
      </c>
      <c r="K1053" s="29"/>
      <c r="L1053" s="29"/>
      <c r="M1053" s="29"/>
      <c r="N1053" s="29"/>
      <c r="O1053" s="29"/>
      <c r="P1053" s="29"/>
      <c r="Q1053" s="29"/>
      <c r="R1053" s="29"/>
      <c r="S1053" s="29"/>
      <c r="T1053" s="29"/>
      <c r="U1053" s="29"/>
      <c r="V1053" s="29"/>
      <c r="W1053" s="29">
        <f t="shared" si="123"/>
        <v>0</v>
      </c>
      <c r="X1053" s="29"/>
      <c r="Y1053" s="29">
        <f t="shared" si="127"/>
        <v>0</v>
      </c>
    </row>
    <row r="1054" spans="1:25" ht="18.75" customHeight="1" hidden="1">
      <c r="A1054" s="126"/>
      <c r="B1054" s="126"/>
      <c r="C1054" s="296"/>
      <c r="D1054" s="56"/>
      <c r="E1054" s="28"/>
      <c r="F1054" s="29"/>
      <c r="G1054" s="114"/>
      <c r="H1054" s="122"/>
      <c r="I1054" s="234"/>
      <c r="J1054" s="29"/>
      <c r="K1054" s="29"/>
      <c r="L1054" s="29"/>
      <c r="M1054" s="29"/>
      <c r="N1054" s="29"/>
      <c r="O1054" s="29"/>
      <c r="P1054" s="29"/>
      <c r="Q1054" s="29"/>
      <c r="R1054" s="29"/>
      <c r="S1054" s="29"/>
      <c r="T1054" s="29"/>
      <c r="U1054" s="29"/>
      <c r="V1054" s="29"/>
      <c r="W1054" s="29">
        <f t="shared" si="123"/>
        <v>0</v>
      </c>
      <c r="X1054" s="29"/>
      <c r="Y1054" s="29">
        <f t="shared" si="127"/>
        <v>0</v>
      </c>
    </row>
    <row r="1055" spans="1:25" ht="18.75" customHeight="1" hidden="1">
      <c r="A1055" s="64"/>
      <c r="B1055" s="64"/>
      <c r="C1055" s="291" t="s">
        <v>1020</v>
      </c>
      <c r="D1055" s="48"/>
      <c r="E1055" s="30"/>
      <c r="F1055" s="31"/>
      <c r="G1055" s="114"/>
      <c r="H1055" s="145"/>
      <c r="I1055" s="240"/>
      <c r="J1055" s="31">
        <f>J1056</f>
        <v>0</v>
      </c>
      <c r="K1055" s="29"/>
      <c r="L1055" s="29"/>
      <c r="M1055" s="29"/>
      <c r="N1055" s="29"/>
      <c r="O1055" s="29"/>
      <c r="P1055" s="29"/>
      <c r="Q1055" s="29"/>
      <c r="R1055" s="29"/>
      <c r="S1055" s="29"/>
      <c r="T1055" s="29"/>
      <c r="U1055" s="29"/>
      <c r="V1055" s="29"/>
      <c r="W1055" s="29">
        <f t="shared" si="123"/>
        <v>0</v>
      </c>
      <c r="X1055" s="29"/>
      <c r="Y1055" s="29">
        <f t="shared" si="127"/>
        <v>0</v>
      </c>
    </row>
    <row r="1056" spans="1:25" ht="18.75" customHeight="1" hidden="1">
      <c r="A1056" s="124"/>
      <c r="B1056" s="124"/>
      <c r="C1056" s="292"/>
      <c r="D1056" s="49"/>
      <c r="E1056" s="28"/>
      <c r="F1056" s="47"/>
      <c r="G1056" s="114"/>
      <c r="H1056" s="139"/>
      <c r="I1056" s="238"/>
      <c r="J1056" s="47"/>
      <c r="K1056" s="29"/>
      <c r="L1056" s="29"/>
      <c r="M1056" s="29"/>
      <c r="N1056" s="29"/>
      <c r="O1056" s="29"/>
      <c r="P1056" s="29"/>
      <c r="Q1056" s="29"/>
      <c r="R1056" s="29"/>
      <c r="S1056" s="29"/>
      <c r="T1056" s="29"/>
      <c r="U1056" s="29"/>
      <c r="V1056" s="29"/>
      <c r="W1056" s="29">
        <f t="shared" si="123"/>
        <v>0</v>
      </c>
      <c r="X1056" s="29"/>
      <c r="Y1056" s="29">
        <f t="shared" si="127"/>
        <v>0</v>
      </c>
    </row>
    <row r="1057" spans="1:25" ht="18.75" customHeight="1" hidden="1">
      <c r="A1057" s="120"/>
      <c r="B1057" s="120"/>
      <c r="C1057" s="294" t="s">
        <v>647</v>
      </c>
      <c r="D1057" s="41"/>
      <c r="E1057" s="86"/>
      <c r="F1057" s="29"/>
      <c r="G1057" s="114"/>
      <c r="H1057" s="122"/>
      <c r="I1057" s="234"/>
      <c r="J1057" s="31">
        <f>SUM(J1058:J1061)</f>
        <v>0</v>
      </c>
      <c r="K1057" s="29"/>
      <c r="L1057" s="29"/>
      <c r="M1057" s="29"/>
      <c r="N1057" s="29"/>
      <c r="O1057" s="29"/>
      <c r="P1057" s="29"/>
      <c r="Q1057" s="29"/>
      <c r="R1057" s="29"/>
      <c r="S1057" s="29"/>
      <c r="T1057" s="29"/>
      <c r="U1057" s="29"/>
      <c r="V1057" s="29"/>
      <c r="W1057" s="29">
        <f t="shared" si="123"/>
        <v>0</v>
      </c>
      <c r="X1057" s="29"/>
      <c r="Y1057" s="29">
        <f t="shared" si="127"/>
        <v>0</v>
      </c>
    </row>
    <row r="1058" spans="1:25" ht="18.75" customHeight="1" hidden="1">
      <c r="A1058" s="121"/>
      <c r="B1058" s="121"/>
      <c r="C1058" s="295"/>
      <c r="D1058" s="42"/>
      <c r="E1058" s="28"/>
      <c r="F1058" s="29"/>
      <c r="G1058" s="114"/>
      <c r="H1058" s="122"/>
      <c r="I1058" s="234"/>
      <c r="J1058" s="54"/>
      <c r="K1058" s="29"/>
      <c r="L1058" s="29"/>
      <c r="M1058" s="29"/>
      <c r="N1058" s="29"/>
      <c r="O1058" s="29"/>
      <c r="P1058" s="29"/>
      <c r="Q1058" s="29"/>
      <c r="R1058" s="29"/>
      <c r="S1058" s="29"/>
      <c r="T1058" s="29"/>
      <c r="U1058" s="29"/>
      <c r="V1058" s="29"/>
      <c r="W1058" s="29">
        <f aca="true" t="shared" si="128" ref="W1058:W1124">J1058-K1058-L1058-M1058-N1058-O1058-P1058-Q1058-R1058-S1058-T1058-U1058-V1058</f>
        <v>0</v>
      </c>
      <c r="X1058" s="29"/>
      <c r="Y1058" s="29">
        <f t="shared" si="127"/>
        <v>0</v>
      </c>
    </row>
    <row r="1059" spans="1:25" ht="18.75" customHeight="1" hidden="1">
      <c r="A1059" s="121"/>
      <c r="B1059" s="121"/>
      <c r="C1059" s="295"/>
      <c r="D1059" s="42"/>
      <c r="E1059" s="28"/>
      <c r="F1059" s="29"/>
      <c r="G1059" s="114"/>
      <c r="H1059" s="122"/>
      <c r="I1059" s="234"/>
      <c r="J1059" s="54"/>
      <c r="K1059" s="29"/>
      <c r="L1059" s="29"/>
      <c r="M1059" s="29"/>
      <c r="N1059" s="29"/>
      <c r="O1059" s="29"/>
      <c r="P1059" s="29"/>
      <c r="Q1059" s="29"/>
      <c r="R1059" s="29"/>
      <c r="S1059" s="29"/>
      <c r="T1059" s="29"/>
      <c r="U1059" s="29"/>
      <c r="V1059" s="29"/>
      <c r="W1059" s="29">
        <f t="shared" si="128"/>
        <v>0</v>
      </c>
      <c r="X1059" s="29"/>
      <c r="Y1059" s="29">
        <f t="shared" si="127"/>
        <v>0</v>
      </c>
    </row>
    <row r="1060" spans="1:25" ht="18.75" customHeight="1" hidden="1">
      <c r="A1060" s="121"/>
      <c r="B1060" s="121"/>
      <c r="C1060" s="295"/>
      <c r="D1060" s="42"/>
      <c r="E1060" s="28"/>
      <c r="F1060" s="29"/>
      <c r="G1060" s="114"/>
      <c r="H1060" s="122"/>
      <c r="I1060" s="234"/>
      <c r="J1060" s="54"/>
      <c r="K1060" s="29"/>
      <c r="L1060" s="29"/>
      <c r="M1060" s="29"/>
      <c r="N1060" s="29"/>
      <c r="O1060" s="29"/>
      <c r="P1060" s="29"/>
      <c r="Q1060" s="29"/>
      <c r="R1060" s="29"/>
      <c r="S1060" s="29"/>
      <c r="T1060" s="29"/>
      <c r="U1060" s="29"/>
      <c r="V1060" s="29"/>
      <c r="W1060" s="29">
        <f t="shared" si="128"/>
        <v>0</v>
      </c>
      <c r="X1060" s="29"/>
      <c r="Y1060" s="29">
        <f t="shared" si="127"/>
        <v>0</v>
      </c>
    </row>
    <row r="1061" spans="1:25" ht="18.75" customHeight="1" hidden="1">
      <c r="A1061" s="124"/>
      <c r="B1061" s="124"/>
      <c r="C1061" s="296"/>
      <c r="D1061" s="56"/>
      <c r="E1061" s="28"/>
      <c r="F1061" s="47"/>
      <c r="G1061" s="114"/>
      <c r="H1061" s="139"/>
      <c r="I1061" s="238"/>
      <c r="J1061" s="47"/>
      <c r="K1061" s="29"/>
      <c r="L1061" s="29"/>
      <c r="M1061" s="29"/>
      <c r="N1061" s="29"/>
      <c r="O1061" s="29"/>
      <c r="P1061" s="29"/>
      <c r="Q1061" s="29"/>
      <c r="R1061" s="29"/>
      <c r="S1061" s="29"/>
      <c r="T1061" s="29"/>
      <c r="U1061" s="29"/>
      <c r="V1061" s="29"/>
      <c r="W1061" s="29">
        <f t="shared" si="128"/>
        <v>0</v>
      </c>
      <c r="X1061" s="29"/>
      <c r="Y1061" s="29">
        <f t="shared" si="127"/>
        <v>0</v>
      </c>
    </row>
    <row r="1062" spans="1:25" ht="18.75" customHeight="1" hidden="1">
      <c r="A1062" s="120"/>
      <c r="B1062" s="120"/>
      <c r="C1062" s="294" t="s">
        <v>201</v>
      </c>
      <c r="D1062" s="41"/>
      <c r="E1062" s="86"/>
      <c r="F1062" s="29"/>
      <c r="G1062" s="114"/>
      <c r="H1062" s="122"/>
      <c r="I1062" s="234"/>
      <c r="J1062" s="31">
        <f>SUM(J1063:J1065)</f>
        <v>0</v>
      </c>
      <c r="K1062" s="29"/>
      <c r="L1062" s="29"/>
      <c r="M1062" s="29"/>
      <c r="N1062" s="29"/>
      <c r="O1062" s="29"/>
      <c r="P1062" s="29"/>
      <c r="Q1062" s="29"/>
      <c r="R1062" s="29"/>
      <c r="S1062" s="29"/>
      <c r="T1062" s="29"/>
      <c r="U1062" s="29"/>
      <c r="V1062" s="29"/>
      <c r="W1062" s="29">
        <f t="shared" si="128"/>
        <v>0</v>
      </c>
      <c r="X1062" s="29"/>
      <c r="Y1062" s="29">
        <f t="shared" si="127"/>
        <v>0</v>
      </c>
    </row>
    <row r="1063" spans="1:25" ht="18.75" customHeight="1" hidden="1">
      <c r="A1063" s="121"/>
      <c r="B1063" s="121"/>
      <c r="C1063" s="295"/>
      <c r="D1063" s="42"/>
      <c r="E1063" s="28"/>
      <c r="F1063" s="29"/>
      <c r="G1063" s="114"/>
      <c r="H1063" s="122"/>
      <c r="I1063" s="234"/>
      <c r="J1063" s="54"/>
      <c r="K1063" s="29"/>
      <c r="L1063" s="29"/>
      <c r="M1063" s="29"/>
      <c r="N1063" s="29"/>
      <c r="O1063" s="29"/>
      <c r="P1063" s="29"/>
      <c r="Q1063" s="29"/>
      <c r="R1063" s="29"/>
      <c r="S1063" s="29"/>
      <c r="T1063" s="29"/>
      <c r="U1063" s="29"/>
      <c r="V1063" s="29"/>
      <c r="W1063" s="29">
        <f t="shared" si="128"/>
        <v>0</v>
      </c>
      <c r="X1063" s="29"/>
      <c r="Y1063" s="29">
        <f t="shared" si="127"/>
        <v>0</v>
      </c>
    </row>
    <row r="1064" spans="1:25" ht="18.75" customHeight="1" hidden="1">
      <c r="A1064" s="121"/>
      <c r="B1064" s="121"/>
      <c r="C1064" s="295"/>
      <c r="D1064" s="42"/>
      <c r="E1064" s="28"/>
      <c r="F1064" s="29"/>
      <c r="G1064" s="114"/>
      <c r="H1064" s="122"/>
      <c r="I1064" s="234"/>
      <c r="J1064" s="54"/>
      <c r="K1064" s="29"/>
      <c r="L1064" s="29"/>
      <c r="M1064" s="29"/>
      <c r="N1064" s="29"/>
      <c r="O1064" s="29"/>
      <c r="P1064" s="29"/>
      <c r="Q1064" s="29"/>
      <c r="R1064" s="29"/>
      <c r="S1064" s="29"/>
      <c r="T1064" s="29"/>
      <c r="U1064" s="29"/>
      <c r="V1064" s="29"/>
      <c r="W1064" s="29">
        <f t="shared" si="128"/>
        <v>0</v>
      </c>
      <c r="X1064" s="29"/>
      <c r="Y1064" s="29">
        <f t="shared" si="127"/>
        <v>0</v>
      </c>
    </row>
    <row r="1065" spans="1:25" ht="18.75" customHeight="1" hidden="1">
      <c r="A1065" s="124"/>
      <c r="B1065" s="124"/>
      <c r="C1065" s="296"/>
      <c r="D1065" s="56"/>
      <c r="E1065" s="28"/>
      <c r="F1065" s="47"/>
      <c r="G1065" s="114"/>
      <c r="H1065" s="139"/>
      <c r="I1065" s="238"/>
      <c r="J1065" s="47"/>
      <c r="K1065" s="29"/>
      <c r="L1065" s="29"/>
      <c r="M1065" s="29"/>
      <c r="N1065" s="29"/>
      <c r="O1065" s="29"/>
      <c r="P1065" s="29"/>
      <c r="Q1065" s="29"/>
      <c r="R1065" s="29"/>
      <c r="S1065" s="29"/>
      <c r="T1065" s="29"/>
      <c r="U1065" s="29"/>
      <c r="V1065" s="29"/>
      <c r="W1065" s="29">
        <f t="shared" si="128"/>
        <v>0</v>
      </c>
      <c r="X1065" s="29"/>
      <c r="Y1065" s="29">
        <f t="shared" si="127"/>
        <v>0</v>
      </c>
    </row>
    <row r="1066" spans="1:25" ht="18.75" customHeight="1" hidden="1">
      <c r="A1066" s="120"/>
      <c r="B1066" s="120"/>
      <c r="C1066" s="294" t="s">
        <v>222</v>
      </c>
      <c r="D1066" s="41"/>
      <c r="E1066" s="86"/>
      <c r="F1066" s="146"/>
      <c r="G1066" s="114"/>
      <c r="H1066" s="147"/>
      <c r="I1066" s="241"/>
      <c r="J1066" s="31">
        <f>SUM(J1067:J1071)</f>
        <v>0</v>
      </c>
      <c r="K1066" s="29"/>
      <c r="L1066" s="29"/>
      <c r="M1066" s="29"/>
      <c r="N1066" s="29"/>
      <c r="O1066" s="29"/>
      <c r="P1066" s="29"/>
      <c r="Q1066" s="29"/>
      <c r="R1066" s="29"/>
      <c r="S1066" s="29"/>
      <c r="T1066" s="29"/>
      <c r="U1066" s="29"/>
      <c r="V1066" s="29"/>
      <c r="W1066" s="29">
        <f t="shared" si="128"/>
        <v>0</v>
      </c>
      <c r="X1066" s="29"/>
      <c r="Y1066" s="29">
        <f t="shared" si="127"/>
        <v>0</v>
      </c>
    </row>
    <row r="1067" spans="1:25" ht="18.75" customHeight="1" hidden="1">
      <c r="A1067" s="123"/>
      <c r="B1067" s="123"/>
      <c r="C1067" s="295"/>
      <c r="D1067" s="42"/>
      <c r="E1067" s="61"/>
      <c r="F1067" s="29"/>
      <c r="G1067" s="114"/>
      <c r="H1067" s="122"/>
      <c r="I1067" s="234"/>
      <c r="J1067" s="54"/>
      <c r="K1067" s="29"/>
      <c r="L1067" s="29"/>
      <c r="M1067" s="29"/>
      <c r="N1067" s="29"/>
      <c r="O1067" s="29"/>
      <c r="P1067" s="29"/>
      <c r="Q1067" s="29"/>
      <c r="R1067" s="29"/>
      <c r="S1067" s="29"/>
      <c r="T1067" s="29"/>
      <c r="U1067" s="29"/>
      <c r="V1067" s="29"/>
      <c r="W1067" s="29">
        <f t="shared" si="128"/>
        <v>0</v>
      </c>
      <c r="X1067" s="29"/>
      <c r="Y1067" s="29">
        <f t="shared" si="127"/>
        <v>0</v>
      </c>
    </row>
    <row r="1068" spans="1:25" ht="18.75" customHeight="1" hidden="1">
      <c r="A1068" s="123"/>
      <c r="B1068" s="123"/>
      <c r="C1068" s="295"/>
      <c r="D1068" s="42"/>
      <c r="E1068" s="61"/>
      <c r="F1068" s="29"/>
      <c r="G1068" s="114"/>
      <c r="H1068" s="122"/>
      <c r="I1068" s="234"/>
      <c r="J1068" s="54"/>
      <c r="K1068" s="29"/>
      <c r="L1068" s="29"/>
      <c r="M1068" s="29"/>
      <c r="N1068" s="29"/>
      <c r="O1068" s="29"/>
      <c r="P1068" s="29"/>
      <c r="Q1068" s="29"/>
      <c r="R1068" s="29"/>
      <c r="S1068" s="29"/>
      <c r="T1068" s="29"/>
      <c r="U1068" s="29"/>
      <c r="V1068" s="29"/>
      <c r="W1068" s="29">
        <f t="shared" si="128"/>
        <v>0</v>
      </c>
      <c r="X1068" s="29"/>
      <c r="Y1068" s="29">
        <f t="shared" si="127"/>
        <v>0</v>
      </c>
    </row>
    <row r="1069" spans="1:25" ht="18.75" customHeight="1" hidden="1">
      <c r="A1069" s="123"/>
      <c r="B1069" s="123"/>
      <c r="C1069" s="295"/>
      <c r="D1069" s="42"/>
      <c r="E1069" s="61"/>
      <c r="F1069" s="29"/>
      <c r="G1069" s="114"/>
      <c r="H1069" s="122"/>
      <c r="I1069" s="234"/>
      <c r="J1069" s="54"/>
      <c r="K1069" s="29"/>
      <c r="L1069" s="29"/>
      <c r="M1069" s="29"/>
      <c r="N1069" s="29"/>
      <c r="O1069" s="29"/>
      <c r="P1069" s="29"/>
      <c r="Q1069" s="29"/>
      <c r="R1069" s="29"/>
      <c r="S1069" s="29"/>
      <c r="T1069" s="29"/>
      <c r="U1069" s="29"/>
      <c r="V1069" s="29"/>
      <c r="W1069" s="29">
        <f t="shared" si="128"/>
        <v>0</v>
      </c>
      <c r="X1069" s="29"/>
      <c r="Y1069" s="29">
        <f t="shared" si="127"/>
        <v>0</v>
      </c>
    </row>
    <row r="1070" spans="1:25" ht="18.75" customHeight="1" hidden="1">
      <c r="A1070" s="123"/>
      <c r="B1070" s="123"/>
      <c r="C1070" s="295"/>
      <c r="D1070" s="42"/>
      <c r="E1070" s="61"/>
      <c r="F1070" s="29"/>
      <c r="G1070" s="114"/>
      <c r="H1070" s="122"/>
      <c r="I1070" s="234"/>
      <c r="J1070" s="54"/>
      <c r="K1070" s="29"/>
      <c r="L1070" s="29"/>
      <c r="M1070" s="29"/>
      <c r="N1070" s="29"/>
      <c r="O1070" s="29"/>
      <c r="P1070" s="29"/>
      <c r="Q1070" s="29"/>
      <c r="R1070" s="29"/>
      <c r="S1070" s="29"/>
      <c r="T1070" s="29"/>
      <c r="U1070" s="29"/>
      <c r="V1070" s="29"/>
      <c r="W1070" s="29">
        <f t="shared" si="128"/>
        <v>0</v>
      </c>
      <c r="X1070" s="29"/>
      <c r="Y1070" s="29">
        <f t="shared" si="127"/>
        <v>0</v>
      </c>
    </row>
    <row r="1071" spans="1:25" ht="18.75" customHeight="1" hidden="1">
      <c r="A1071" s="121"/>
      <c r="B1071" s="121"/>
      <c r="C1071" s="295"/>
      <c r="D1071" s="42"/>
      <c r="E1071" s="61"/>
      <c r="F1071" s="29"/>
      <c r="G1071" s="114"/>
      <c r="H1071" s="122"/>
      <c r="I1071" s="234"/>
      <c r="J1071" s="54"/>
      <c r="K1071" s="29"/>
      <c r="L1071" s="29"/>
      <c r="M1071" s="29"/>
      <c r="N1071" s="29"/>
      <c r="O1071" s="29"/>
      <c r="P1071" s="29"/>
      <c r="Q1071" s="29"/>
      <c r="R1071" s="29"/>
      <c r="S1071" s="29"/>
      <c r="T1071" s="29"/>
      <c r="U1071" s="29"/>
      <c r="V1071" s="29"/>
      <c r="W1071" s="29">
        <f t="shared" si="128"/>
        <v>0</v>
      </c>
      <c r="X1071" s="29"/>
      <c r="Y1071" s="29">
        <f t="shared" si="127"/>
        <v>0</v>
      </c>
    </row>
    <row r="1072" spans="1:25" ht="18.75" customHeight="1" hidden="1">
      <c r="A1072" s="120"/>
      <c r="B1072" s="120"/>
      <c r="C1072" s="294" t="s">
        <v>85</v>
      </c>
      <c r="D1072" s="41"/>
      <c r="E1072" s="86"/>
      <c r="F1072" s="29"/>
      <c r="G1072" s="114"/>
      <c r="H1072" s="122"/>
      <c r="I1072" s="234"/>
      <c r="J1072" s="31">
        <f>SUM(J1073:J1074)</f>
        <v>0</v>
      </c>
      <c r="K1072" s="29"/>
      <c r="L1072" s="29"/>
      <c r="M1072" s="29"/>
      <c r="N1072" s="29"/>
      <c r="O1072" s="29"/>
      <c r="P1072" s="29"/>
      <c r="Q1072" s="29"/>
      <c r="R1072" s="29"/>
      <c r="S1072" s="29"/>
      <c r="T1072" s="29"/>
      <c r="U1072" s="29"/>
      <c r="V1072" s="29"/>
      <c r="W1072" s="29">
        <f t="shared" si="128"/>
        <v>0</v>
      </c>
      <c r="X1072" s="29"/>
      <c r="Y1072" s="29">
        <f t="shared" si="127"/>
        <v>0</v>
      </c>
    </row>
    <row r="1073" spans="1:25" ht="18.75" customHeight="1" hidden="1">
      <c r="A1073" s="121"/>
      <c r="B1073" s="121"/>
      <c r="C1073" s="295"/>
      <c r="D1073" s="42"/>
      <c r="E1073" s="36"/>
      <c r="F1073" s="40"/>
      <c r="G1073" s="114"/>
      <c r="H1073" s="119"/>
      <c r="I1073" s="239"/>
      <c r="J1073" s="40"/>
      <c r="K1073" s="29"/>
      <c r="L1073" s="29"/>
      <c r="M1073" s="29"/>
      <c r="N1073" s="29"/>
      <c r="O1073" s="29"/>
      <c r="P1073" s="29"/>
      <c r="Q1073" s="29"/>
      <c r="R1073" s="29"/>
      <c r="S1073" s="29"/>
      <c r="T1073" s="29"/>
      <c r="U1073" s="29"/>
      <c r="V1073" s="29"/>
      <c r="W1073" s="29">
        <f t="shared" si="128"/>
        <v>0</v>
      </c>
      <c r="X1073" s="29"/>
      <c r="Y1073" s="29">
        <f t="shared" si="127"/>
        <v>0</v>
      </c>
    </row>
    <row r="1074" spans="1:25" ht="18.75" customHeight="1" hidden="1">
      <c r="A1074" s="121"/>
      <c r="B1074" s="121"/>
      <c r="C1074" s="295"/>
      <c r="D1074" s="42"/>
      <c r="E1074" s="91"/>
      <c r="F1074" s="148"/>
      <c r="G1074" s="114"/>
      <c r="H1074" s="149"/>
      <c r="I1074" s="242"/>
      <c r="J1074" s="54"/>
      <c r="K1074" s="29"/>
      <c r="L1074" s="29"/>
      <c r="M1074" s="29"/>
      <c r="N1074" s="29"/>
      <c r="O1074" s="29"/>
      <c r="P1074" s="29"/>
      <c r="Q1074" s="29"/>
      <c r="R1074" s="29"/>
      <c r="S1074" s="29"/>
      <c r="T1074" s="29"/>
      <c r="U1074" s="29"/>
      <c r="V1074" s="29"/>
      <c r="W1074" s="29">
        <f t="shared" si="128"/>
        <v>0</v>
      </c>
      <c r="X1074" s="29"/>
      <c r="Y1074" s="29">
        <f t="shared" si="127"/>
        <v>0</v>
      </c>
    </row>
    <row r="1075" spans="1:25" ht="18.75" customHeight="1" hidden="1">
      <c r="A1075" s="64"/>
      <c r="B1075" s="64"/>
      <c r="C1075" s="291" t="s">
        <v>8</v>
      </c>
      <c r="D1075" s="48"/>
      <c r="E1075" s="30"/>
      <c r="F1075" s="79"/>
      <c r="G1075" s="114"/>
      <c r="H1075" s="138"/>
      <c r="I1075" s="243"/>
      <c r="J1075" s="79">
        <f>J1076</f>
        <v>0</v>
      </c>
      <c r="K1075" s="29"/>
      <c r="L1075" s="29"/>
      <c r="M1075" s="29"/>
      <c r="N1075" s="29"/>
      <c r="O1075" s="29"/>
      <c r="P1075" s="29"/>
      <c r="Q1075" s="29"/>
      <c r="R1075" s="29"/>
      <c r="S1075" s="29"/>
      <c r="T1075" s="29"/>
      <c r="U1075" s="29"/>
      <c r="V1075" s="29"/>
      <c r="W1075" s="29">
        <f t="shared" si="128"/>
        <v>0</v>
      </c>
      <c r="X1075" s="29"/>
      <c r="Y1075" s="29">
        <f t="shared" si="127"/>
        <v>0</v>
      </c>
    </row>
    <row r="1076" spans="1:25" ht="18.75" customHeight="1" hidden="1">
      <c r="A1076" s="124"/>
      <c r="B1076" s="124"/>
      <c r="C1076" s="292"/>
      <c r="D1076" s="51"/>
      <c r="E1076" s="28"/>
      <c r="F1076" s="47"/>
      <c r="G1076" s="114"/>
      <c r="H1076" s="139"/>
      <c r="I1076" s="238"/>
      <c r="J1076" s="47"/>
      <c r="K1076" s="29"/>
      <c r="L1076" s="29"/>
      <c r="M1076" s="29"/>
      <c r="N1076" s="29"/>
      <c r="O1076" s="29"/>
      <c r="P1076" s="29"/>
      <c r="Q1076" s="29"/>
      <c r="R1076" s="29"/>
      <c r="S1076" s="29"/>
      <c r="T1076" s="29"/>
      <c r="U1076" s="29"/>
      <c r="V1076" s="29"/>
      <c r="W1076" s="29">
        <f t="shared" si="128"/>
        <v>0</v>
      </c>
      <c r="X1076" s="29"/>
      <c r="Y1076" s="29">
        <f t="shared" si="127"/>
        <v>0</v>
      </c>
    </row>
    <row r="1077" spans="1:25" ht="18" customHeight="1" hidden="1">
      <c r="A1077" s="120"/>
      <c r="B1077" s="120"/>
      <c r="C1077" s="294" t="s">
        <v>701</v>
      </c>
      <c r="D1077" s="41"/>
      <c r="E1077" s="86"/>
      <c r="F1077" s="29"/>
      <c r="G1077" s="114"/>
      <c r="H1077" s="122"/>
      <c r="I1077" s="234"/>
      <c r="J1077" s="31">
        <f>SUM(J1078:J1082)</f>
        <v>0</v>
      </c>
      <c r="K1077" s="29"/>
      <c r="L1077" s="29"/>
      <c r="M1077" s="29"/>
      <c r="N1077" s="29"/>
      <c r="O1077" s="29"/>
      <c r="P1077" s="29"/>
      <c r="Q1077" s="29"/>
      <c r="R1077" s="29"/>
      <c r="S1077" s="29"/>
      <c r="T1077" s="29"/>
      <c r="U1077" s="29"/>
      <c r="V1077" s="29"/>
      <c r="W1077" s="29">
        <f t="shared" si="128"/>
        <v>0</v>
      </c>
      <c r="X1077" s="29"/>
      <c r="Y1077" s="29">
        <f t="shared" si="127"/>
        <v>0</v>
      </c>
    </row>
    <row r="1078" spans="1:25" ht="18.75" customHeight="1" hidden="1">
      <c r="A1078" s="123"/>
      <c r="B1078" s="123"/>
      <c r="C1078" s="295"/>
      <c r="D1078" s="42"/>
      <c r="E1078" s="28"/>
      <c r="F1078" s="148"/>
      <c r="G1078" s="114"/>
      <c r="H1078" s="149"/>
      <c r="I1078" s="242"/>
      <c r="J1078" s="54"/>
      <c r="K1078" s="29"/>
      <c r="L1078" s="29"/>
      <c r="M1078" s="29"/>
      <c r="N1078" s="29"/>
      <c r="O1078" s="29"/>
      <c r="P1078" s="29"/>
      <c r="Q1078" s="29"/>
      <c r="R1078" s="29"/>
      <c r="S1078" s="29"/>
      <c r="T1078" s="29"/>
      <c r="U1078" s="29"/>
      <c r="V1078" s="29"/>
      <c r="W1078" s="29">
        <f t="shared" si="128"/>
        <v>0</v>
      </c>
      <c r="X1078" s="29"/>
      <c r="Y1078" s="29">
        <f t="shared" si="127"/>
        <v>0</v>
      </c>
    </row>
    <row r="1079" spans="1:25" ht="18.75" customHeight="1" hidden="1">
      <c r="A1079" s="121"/>
      <c r="B1079" s="121"/>
      <c r="C1079" s="295"/>
      <c r="D1079" s="42"/>
      <c r="E1079" s="86"/>
      <c r="F1079" s="29"/>
      <c r="G1079" s="114"/>
      <c r="H1079" s="122"/>
      <c r="I1079" s="234"/>
      <c r="J1079" s="29"/>
      <c r="K1079" s="29"/>
      <c r="L1079" s="29"/>
      <c r="M1079" s="29"/>
      <c r="N1079" s="29"/>
      <c r="O1079" s="29"/>
      <c r="P1079" s="29"/>
      <c r="Q1079" s="29"/>
      <c r="R1079" s="29"/>
      <c r="S1079" s="29"/>
      <c r="T1079" s="29"/>
      <c r="U1079" s="29"/>
      <c r="V1079" s="29"/>
      <c r="W1079" s="29">
        <f t="shared" si="128"/>
        <v>0</v>
      </c>
      <c r="X1079" s="29"/>
      <c r="Y1079" s="29">
        <f t="shared" si="127"/>
        <v>0</v>
      </c>
    </row>
    <row r="1080" spans="1:25" ht="18.75" customHeight="1" hidden="1">
      <c r="A1080" s="121"/>
      <c r="B1080" s="121"/>
      <c r="C1080" s="295"/>
      <c r="D1080" s="42"/>
      <c r="E1080" s="86"/>
      <c r="F1080" s="29"/>
      <c r="G1080" s="114"/>
      <c r="H1080" s="122"/>
      <c r="I1080" s="234"/>
      <c r="J1080" s="29"/>
      <c r="K1080" s="29"/>
      <c r="L1080" s="29"/>
      <c r="M1080" s="29"/>
      <c r="N1080" s="29"/>
      <c r="O1080" s="29"/>
      <c r="P1080" s="29"/>
      <c r="Q1080" s="29"/>
      <c r="R1080" s="29"/>
      <c r="S1080" s="29"/>
      <c r="T1080" s="29"/>
      <c r="U1080" s="29"/>
      <c r="V1080" s="29"/>
      <c r="W1080" s="29">
        <f t="shared" si="128"/>
        <v>0</v>
      </c>
      <c r="X1080" s="29"/>
      <c r="Y1080" s="29">
        <f t="shared" si="127"/>
        <v>0</v>
      </c>
    </row>
    <row r="1081" spans="1:25" ht="18.75" customHeight="1" hidden="1">
      <c r="A1081" s="121"/>
      <c r="B1081" s="121"/>
      <c r="C1081" s="295"/>
      <c r="D1081" s="42"/>
      <c r="E1081" s="36"/>
      <c r="F1081" s="29"/>
      <c r="G1081" s="114"/>
      <c r="H1081" s="122"/>
      <c r="I1081" s="234"/>
      <c r="J1081" s="29"/>
      <c r="K1081" s="29"/>
      <c r="L1081" s="29"/>
      <c r="M1081" s="29"/>
      <c r="N1081" s="29"/>
      <c r="O1081" s="29"/>
      <c r="P1081" s="29"/>
      <c r="Q1081" s="29"/>
      <c r="R1081" s="29"/>
      <c r="S1081" s="29"/>
      <c r="T1081" s="29"/>
      <c r="U1081" s="29"/>
      <c r="V1081" s="29"/>
      <c r="W1081" s="29">
        <f t="shared" si="128"/>
        <v>0</v>
      </c>
      <c r="X1081" s="29"/>
      <c r="Y1081" s="29">
        <f t="shared" si="127"/>
        <v>0</v>
      </c>
    </row>
    <row r="1082" spans="1:25" ht="18.75" customHeight="1" hidden="1">
      <c r="A1082" s="121"/>
      <c r="B1082" s="121"/>
      <c r="C1082" s="295"/>
      <c r="D1082" s="42"/>
      <c r="E1082" s="36"/>
      <c r="F1082" s="29"/>
      <c r="G1082" s="114"/>
      <c r="H1082" s="122"/>
      <c r="I1082" s="234"/>
      <c r="J1082" s="29"/>
      <c r="K1082" s="29"/>
      <c r="L1082" s="29"/>
      <c r="M1082" s="29"/>
      <c r="N1082" s="29"/>
      <c r="O1082" s="29"/>
      <c r="P1082" s="29"/>
      <c r="Q1082" s="29"/>
      <c r="R1082" s="29"/>
      <c r="S1082" s="29"/>
      <c r="T1082" s="29"/>
      <c r="U1082" s="29"/>
      <c r="V1082" s="29"/>
      <c r="W1082" s="29">
        <f t="shared" si="128"/>
        <v>0</v>
      </c>
      <c r="X1082" s="29"/>
      <c r="Y1082" s="29">
        <f t="shared" si="127"/>
        <v>0</v>
      </c>
    </row>
    <row r="1083" spans="1:25" ht="18" hidden="1">
      <c r="A1083" s="123"/>
      <c r="B1083" s="123"/>
      <c r="C1083" s="42" t="s">
        <v>80</v>
      </c>
      <c r="D1083" s="42"/>
      <c r="E1083" s="28"/>
      <c r="F1083" s="148"/>
      <c r="G1083" s="114"/>
      <c r="H1083" s="149"/>
      <c r="I1083" s="242"/>
      <c r="J1083" s="60"/>
      <c r="K1083" s="29"/>
      <c r="L1083" s="29"/>
      <c r="M1083" s="29"/>
      <c r="N1083" s="29"/>
      <c r="O1083" s="29"/>
      <c r="P1083" s="29"/>
      <c r="Q1083" s="29"/>
      <c r="R1083" s="29"/>
      <c r="S1083" s="29"/>
      <c r="T1083" s="29"/>
      <c r="U1083" s="29"/>
      <c r="V1083" s="29"/>
      <c r="W1083" s="29">
        <f t="shared" si="128"/>
        <v>0</v>
      </c>
      <c r="X1083" s="29"/>
      <c r="Y1083" s="29">
        <f t="shared" si="127"/>
        <v>0</v>
      </c>
    </row>
    <row r="1084" spans="1:25" ht="18.75" customHeight="1" hidden="1">
      <c r="A1084" s="120"/>
      <c r="B1084" s="120"/>
      <c r="C1084" s="294" t="s">
        <v>81</v>
      </c>
      <c r="D1084" s="41"/>
      <c r="E1084" s="86"/>
      <c r="F1084" s="29"/>
      <c r="G1084" s="114"/>
      <c r="H1084" s="122"/>
      <c r="I1084" s="234"/>
      <c r="J1084" s="31">
        <f>J1085+J1086+J1087+J1093+J1096+J1103</f>
        <v>0</v>
      </c>
      <c r="K1084" s="29"/>
      <c r="L1084" s="29"/>
      <c r="M1084" s="29"/>
      <c r="N1084" s="29"/>
      <c r="O1084" s="29"/>
      <c r="P1084" s="29"/>
      <c r="Q1084" s="29"/>
      <c r="R1084" s="29"/>
      <c r="S1084" s="29"/>
      <c r="T1084" s="29"/>
      <c r="U1084" s="29"/>
      <c r="V1084" s="29"/>
      <c r="W1084" s="29">
        <f t="shared" si="128"/>
        <v>0</v>
      </c>
      <c r="X1084" s="29"/>
      <c r="Y1084" s="29">
        <f t="shared" si="127"/>
        <v>0</v>
      </c>
    </row>
    <row r="1085" spans="1:25" ht="18.75" customHeight="1" hidden="1">
      <c r="A1085" s="121"/>
      <c r="B1085" s="121"/>
      <c r="C1085" s="295"/>
      <c r="D1085" s="42"/>
      <c r="E1085" s="28"/>
      <c r="F1085" s="29"/>
      <c r="G1085" s="114"/>
      <c r="H1085" s="122"/>
      <c r="I1085" s="234"/>
      <c r="J1085" s="54"/>
      <c r="K1085" s="29"/>
      <c r="L1085" s="29"/>
      <c r="M1085" s="29"/>
      <c r="N1085" s="29"/>
      <c r="O1085" s="29"/>
      <c r="P1085" s="29"/>
      <c r="Q1085" s="29"/>
      <c r="R1085" s="29"/>
      <c r="S1085" s="29"/>
      <c r="T1085" s="29"/>
      <c r="U1085" s="29"/>
      <c r="V1085" s="29"/>
      <c r="W1085" s="29">
        <f t="shared" si="128"/>
        <v>0</v>
      </c>
      <c r="X1085" s="29"/>
      <c r="Y1085" s="29">
        <f t="shared" si="127"/>
        <v>0</v>
      </c>
    </row>
    <row r="1086" spans="1:25" ht="18.75" customHeight="1" hidden="1">
      <c r="A1086" s="121"/>
      <c r="B1086" s="121"/>
      <c r="C1086" s="295"/>
      <c r="D1086" s="42"/>
      <c r="E1086" s="28"/>
      <c r="F1086" s="29"/>
      <c r="G1086" s="114"/>
      <c r="H1086" s="122"/>
      <c r="I1086" s="234"/>
      <c r="J1086" s="54"/>
      <c r="K1086" s="29"/>
      <c r="L1086" s="29"/>
      <c r="M1086" s="29"/>
      <c r="N1086" s="29"/>
      <c r="O1086" s="29"/>
      <c r="P1086" s="29"/>
      <c r="Q1086" s="29"/>
      <c r="R1086" s="29"/>
      <c r="S1086" s="29"/>
      <c r="T1086" s="29"/>
      <c r="U1086" s="29"/>
      <c r="V1086" s="29"/>
      <c r="W1086" s="29">
        <f t="shared" si="128"/>
        <v>0</v>
      </c>
      <c r="X1086" s="29"/>
      <c r="Y1086" s="29">
        <f t="shared" si="127"/>
        <v>0</v>
      </c>
    </row>
    <row r="1087" spans="1:25" ht="47.25" customHeight="1" hidden="1">
      <c r="A1087" s="8"/>
      <c r="B1087" s="8"/>
      <c r="C1087" s="295"/>
      <c r="D1087" s="42"/>
      <c r="E1087" s="30" t="s">
        <v>421</v>
      </c>
      <c r="F1087" s="29"/>
      <c r="G1087" s="114"/>
      <c r="H1087" s="122"/>
      <c r="I1087" s="234"/>
      <c r="J1087" s="60">
        <f>SUM(J1088:J1092)</f>
        <v>0</v>
      </c>
      <c r="K1087" s="29"/>
      <c r="L1087" s="29"/>
      <c r="M1087" s="29"/>
      <c r="N1087" s="29"/>
      <c r="O1087" s="29"/>
      <c r="P1087" s="29"/>
      <c r="Q1087" s="29"/>
      <c r="R1087" s="29"/>
      <c r="S1087" s="29"/>
      <c r="T1087" s="29"/>
      <c r="U1087" s="29"/>
      <c r="V1087" s="29"/>
      <c r="W1087" s="29">
        <f t="shared" si="128"/>
        <v>0</v>
      </c>
      <c r="X1087" s="29"/>
      <c r="Y1087" s="29">
        <f t="shared" si="127"/>
        <v>0</v>
      </c>
    </row>
    <row r="1088" spans="1:25" ht="31.5" customHeight="1" hidden="1">
      <c r="A1088" s="8"/>
      <c r="B1088" s="8"/>
      <c r="C1088" s="295"/>
      <c r="D1088" s="42"/>
      <c r="E1088" s="28" t="s">
        <v>849</v>
      </c>
      <c r="F1088" s="29"/>
      <c r="G1088" s="114"/>
      <c r="H1088" s="122"/>
      <c r="I1088" s="234"/>
      <c r="J1088" s="54"/>
      <c r="K1088" s="29"/>
      <c r="L1088" s="29"/>
      <c r="M1088" s="29"/>
      <c r="N1088" s="29"/>
      <c r="O1088" s="29"/>
      <c r="P1088" s="29"/>
      <c r="Q1088" s="29"/>
      <c r="R1088" s="29"/>
      <c r="S1088" s="29"/>
      <c r="T1088" s="29"/>
      <c r="U1088" s="29"/>
      <c r="V1088" s="29"/>
      <c r="W1088" s="29">
        <f t="shared" si="128"/>
        <v>0</v>
      </c>
      <c r="X1088" s="29"/>
      <c r="Y1088" s="29">
        <f t="shared" si="127"/>
        <v>0</v>
      </c>
    </row>
    <row r="1089" spans="1:25" ht="47.25" customHeight="1" hidden="1">
      <c r="A1089" s="8"/>
      <c r="B1089" s="8"/>
      <c r="C1089" s="295"/>
      <c r="D1089" s="42"/>
      <c r="E1089" s="28" t="s">
        <v>850</v>
      </c>
      <c r="F1089" s="29"/>
      <c r="G1089" s="114"/>
      <c r="H1089" s="122"/>
      <c r="I1089" s="234"/>
      <c r="J1089" s="54"/>
      <c r="K1089" s="29"/>
      <c r="L1089" s="29"/>
      <c r="M1089" s="29"/>
      <c r="N1089" s="29"/>
      <c r="O1089" s="29"/>
      <c r="P1089" s="29"/>
      <c r="Q1089" s="29"/>
      <c r="R1089" s="29"/>
      <c r="S1089" s="29"/>
      <c r="T1089" s="29"/>
      <c r="U1089" s="29"/>
      <c r="V1089" s="29"/>
      <c r="W1089" s="29">
        <f t="shared" si="128"/>
        <v>0</v>
      </c>
      <c r="X1089" s="29"/>
      <c r="Y1089" s="29">
        <f t="shared" si="127"/>
        <v>0</v>
      </c>
    </row>
    <row r="1090" spans="1:25" ht="47.25" customHeight="1" hidden="1">
      <c r="A1090" s="8"/>
      <c r="B1090" s="8"/>
      <c r="C1090" s="295"/>
      <c r="D1090" s="42"/>
      <c r="E1090" s="28" t="s">
        <v>819</v>
      </c>
      <c r="F1090" s="29"/>
      <c r="G1090" s="114"/>
      <c r="H1090" s="122"/>
      <c r="I1090" s="234"/>
      <c r="J1090" s="54"/>
      <c r="K1090" s="29"/>
      <c r="L1090" s="29"/>
      <c r="M1090" s="29"/>
      <c r="N1090" s="29"/>
      <c r="O1090" s="29"/>
      <c r="P1090" s="29"/>
      <c r="Q1090" s="29"/>
      <c r="R1090" s="29"/>
      <c r="S1090" s="29"/>
      <c r="T1090" s="29"/>
      <c r="U1090" s="29"/>
      <c r="V1090" s="29"/>
      <c r="W1090" s="29">
        <f t="shared" si="128"/>
        <v>0</v>
      </c>
      <c r="X1090" s="29"/>
      <c r="Y1090" s="29">
        <f t="shared" si="127"/>
        <v>0</v>
      </c>
    </row>
    <row r="1091" spans="1:25" ht="55.5" customHeight="1" hidden="1">
      <c r="A1091" s="8"/>
      <c r="B1091" s="8"/>
      <c r="C1091" s="295"/>
      <c r="D1091" s="42"/>
      <c r="E1091" s="28" t="s">
        <v>1147</v>
      </c>
      <c r="F1091" s="29"/>
      <c r="G1091" s="114"/>
      <c r="H1091" s="122"/>
      <c r="I1091" s="234"/>
      <c r="J1091" s="54"/>
      <c r="K1091" s="29"/>
      <c r="L1091" s="29"/>
      <c r="M1091" s="29"/>
      <c r="N1091" s="29"/>
      <c r="O1091" s="29"/>
      <c r="P1091" s="29"/>
      <c r="Q1091" s="29"/>
      <c r="R1091" s="29"/>
      <c r="S1091" s="29"/>
      <c r="T1091" s="29"/>
      <c r="U1091" s="29"/>
      <c r="V1091" s="29"/>
      <c r="W1091" s="29">
        <f t="shared" si="128"/>
        <v>0</v>
      </c>
      <c r="X1091" s="29"/>
      <c r="Y1091" s="29">
        <f t="shared" si="127"/>
        <v>0</v>
      </c>
    </row>
    <row r="1092" spans="1:25" ht="47.25" customHeight="1" hidden="1">
      <c r="A1092" s="8"/>
      <c r="B1092" s="8"/>
      <c r="C1092" s="295"/>
      <c r="D1092" s="42"/>
      <c r="E1092" s="28" t="s">
        <v>837</v>
      </c>
      <c r="F1092" s="29"/>
      <c r="G1092" s="114"/>
      <c r="H1092" s="122"/>
      <c r="I1092" s="234"/>
      <c r="J1092" s="54"/>
      <c r="K1092" s="29"/>
      <c r="L1092" s="29"/>
      <c r="M1092" s="29"/>
      <c r="N1092" s="29"/>
      <c r="O1092" s="29"/>
      <c r="P1092" s="29"/>
      <c r="Q1092" s="29"/>
      <c r="R1092" s="29"/>
      <c r="S1092" s="29"/>
      <c r="T1092" s="29"/>
      <c r="U1092" s="29"/>
      <c r="V1092" s="29"/>
      <c r="W1092" s="29">
        <f t="shared" si="128"/>
        <v>0</v>
      </c>
      <c r="X1092" s="29"/>
      <c r="Y1092" s="29">
        <f t="shared" si="127"/>
        <v>0</v>
      </c>
    </row>
    <row r="1093" spans="1:25" ht="47.25" customHeight="1" hidden="1">
      <c r="A1093" s="8"/>
      <c r="B1093" s="8"/>
      <c r="C1093" s="295"/>
      <c r="D1093" s="42"/>
      <c r="E1093" s="30" t="s">
        <v>1198</v>
      </c>
      <c r="F1093" s="31"/>
      <c r="G1093" s="125"/>
      <c r="H1093" s="145"/>
      <c r="I1093" s="240"/>
      <c r="J1093" s="60">
        <f>SUM(J1094:J1095)</f>
        <v>0</v>
      </c>
      <c r="K1093" s="29"/>
      <c r="L1093" s="29"/>
      <c r="M1093" s="29"/>
      <c r="N1093" s="29"/>
      <c r="O1093" s="29"/>
      <c r="P1093" s="29"/>
      <c r="Q1093" s="29"/>
      <c r="R1093" s="29"/>
      <c r="S1093" s="29"/>
      <c r="T1093" s="29"/>
      <c r="U1093" s="29"/>
      <c r="V1093" s="29"/>
      <c r="W1093" s="29">
        <f t="shared" si="128"/>
        <v>0</v>
      </c>
      <c r="X1093" s="29"/>
      <c r="Y1093" s="29">
        <f aca="true" t="shared" si="129" ref="Y1093:Y1159">K1093+L1093+M1093+N1093+O1093+P1093+Q1093+R1093+S1093+T1093-X1093</f>
        <v>0</v>
      </c>
    </row>
    <row r="1094" spans="1:25" ht="31.5" customHeight="1" hidden="1">
      <c r="A1094" s="8"/>
      <c r="B1094" s="8"/>
      <c r="C1094" s="295"/>
      <c r="D1094" s="42"/>
      <c r="E1094" s="28" t="s">
        <v>394</v>
      </c>
      <c r="F1094" s="29"/>
      <c r="G1094" s="114"/>
      <c r="H1094" s="122"/>
      <c r="I1094" s="234"/>
      <c r="J1094" s="54"/>
      <c r="K1094" s="29"/>
      <c r="L1094" s="29"/>
      <c r="M1094" s="29"/>
      <c r="N1094" s="29"/>
      <c r="O1094" s="29"/>
      <c r="P1094" s="29"/>
      <c r="Q1094" s="29"/>
      <c r="R1094" s="29"/>
      <c r="S1094" s="29"/>
      <c r="T1094" s="29"/>
      <c r="U1094" s="29"/>
      <c r="V1094" s="29"/>
      <c r="W1094" s="29">
        <f t="shared" si="128"/>
        <v>0</v>
      </c>
      <c r="X1094" s="29"/>
      <c r="Y1094" s="29">
        <f t="shared" si="129"/>
        <v>0</v>
      </c>
    </row>
    <row r="1095" spans="1:25" ht="31.5" customHeight="1" hidden="1">
      <c r="A1095" s="8"/>
      <c r="B1095" s="8"/>
      <c r="C1095" s="295"/>
      <c r="D1095" s="42"/>
      <c r="E1095" s="28" t="s">
        <v>860</v>
      </c>
      <c r="F1095" s="29"/>
      <c r="G1095" s="114"/>
      <c r="H1095" s="122"/>
      <c r="I1095" s="234"/>
      <c r="J1095" s="54"/>
      <c r="K1095" s="29"/>
      <c r="L1095" s="29"/>
      <c r="M1095" s="29"/>
      <c r="N1095" s="29"/>
      <c r="O1095" s="29"/>
      <c r="P1095" s="29"/>
      <c r="Q1095" s="29"/>
      <c r="R1095" s="29"/>
      <c r="S1095" s="29"/>
      <c r="T1095" s="29"/>
      <c r="U1095" s="29"/>
      <c r="V1095" s="29"/>
      <c r="W1095" s="29">
        <f t="shared" si="128"/>
        <v>0</v>
      </c>
      <c r="X1095" s="29"/>
      <c r="Y1095" s="29">
        <f t="shared" si="129"/>
        <v>0</v>
      </c>
    </row>
    <row r="1096" spans="1:25" ht="47.25" customHeight="1" hidden="1">
      <c r="A1096" s="8"/>
      <c r="B1096" s="8"/>
      <c r="C1096" s="295"/>
      <c r="D1096" s="42"/>
      <c r="E1096" s="30" t="s">
        <v>861</v>
      </c>
      <c r="F1096" s="31"/>
      <c r="G1096" s="125"/>
      <c r="H1096" s="145"/>
      <c r="I1096" s="240"/>
      <c r="J1096" s="60">
        <f>SUM(J1097:J1102)</f>
        <v>0</v>
      </c>
      <c r="K1096" s="29"/>
      <c r="L1096" s="29"/>
      <c r="M1096" s="29"/>
      <c r="N1096" s="29"/>
      <c r="O1096" s="29"/>
      <c r="P1096" s="29"/>
      <c r="Q1096" s="29"/>
      <c r="R1096" s="29"/>
      <c r="S1096" s="29"/>
      <c r="T1096" s="29"/>
      <c r="U1096" s="29"/>
      <c r="V1096" s="29"/>
      <c r="W1096" s="29">
        <f t="shared" si="128"/>
        <v>0</v>
      </c>
      <c r="X1096" s="29"/>
      <c r="Y1096" s="29">
        <f t="shared" si="129"/>
        <v>0</v>
      </c>
    </row>
    <row r="1097" spans="1:25" ht="18.75" customHeight="1" hidden="1">
      <c r="A1097" s="8"/>
      <c r="B1097" s="8"/>
      <c r="C1097" s="295"/>
      <c r="D1097" s="42"/>
      <c r="E1097" s="28"/>
      <c r="F1097" s="29"/>
      <c r="G1097" s="114"/>
      <c r="H1097" s="122"/>
      <c r="I1097" s="234"/>
      <c r="J1097" s="54"/>
      <c r="K1097" s="29"/>
      <c r="L1097" s="29"/>
      <c r="M1097" s="29"/>
      <c r="N1097" s="29"/>
      <c r="O1097" s="29"/>
      <c r="P1097" s="29"/>
      <c r="Q1097" s="29"/>
      <c r="R1097" s="29"/>
      <c r="S1097" s="29"/>
      <c r="T1097" s="29"/>
      <c r="U1097" s="29"/>
      <c r="V1097" s="29"/>
      <c r="W1097" s="29">
        <f t="shared" si="128"/>
        <v>0</v>
      </c>
      <c r="X1097" s="29"/>
      <c r="Y1097" s="29">
        <f t="shared" si="129"/>
        <v>0</v>
      </c>
    </row>
    <row r="1098" spans="1:25" ht="21" customHeight="1" hidden="1">
      <c r="A1098" s="8"/>
      <c r="B1098" s="8"/>
      <c r="C1098" s="295"/>
      <c r="D1098" s="42"/>
      <c r="E1098" s="28"/>
      <c r="F1098" s="29"/>
      <c r="G1098" s="114"/>
      <c r="H1098" s="122"/>
      <c r="I1098" s="234"/>
      <c r="J1098" s="54"/>
      <c r="K1098" s="29"/>
      <c r="L1098" s="29"/>
      <c r="M1098" s="29"/>
      <c r="N1098" s="29"/>
      <c r="O1098" s="29"/>
      <c r="P1098" s="29"/>
      <c r="Q1098" s="29"/>
      <c r="R1098" s="29"/>
      <c r="S1098" s="29"/>
      <c r="T1098" s="29"/>
      <c r="U1098" s="29"/>
      <c r="V1098" s="29"/>
      <c r="W1098" s="29">
        <f t="shared" si="128"/>
        <v>0</v>
      </c>
      <c r="X1098" s="29"/>
      <c r="Y1098" s="29">
        <f t="shared" si="129"/>
        <v>0</v>
      </c>
    </row>
    <row r="1099" spans="1:25" ht="51" customHeight="1" hidden="1">
      <c r="A1099" s="8"/>
      <c r="B1099" s="8"/>
      <c r="C1099" s="295"/>
      <c r="D1099" s="42"/>
      <c r="E1099" s="28"/>
      <c r="F1099" s="29"/>
      <c r="G1099" s="114"/>
      <c r="H1099" s="122"/>
      <c r="I1099" s="234"/>
      <c r="J1099" s="54"/>
      <c r="K1099" s="29"/>
      <c r="L1099" s="29"/>
      <c r="M1099" s="29"/>
      <c r="N1099" s="29"/>
      <c r="O1099" s="29"/>
      <c r="P1099" s="29"/>
      <c r="Q1099" s="29"/>
      <c r="R1099" s="29"/>
      <c r="S1099" s="29"/>
      <c r="T1099" s="29"/>
      <c r="U1099" s="29"/>
      <c r="V1099" s="29"/>
      <c r="W1099" s="29">
        <f t="shared" si="128"/>
        <v>0</v>
      </c>
      <c r="X1099" s="29"/>
      <c r="Y1099" s="29">
        <f t="shared" si="129"/>
        <v>0</v>
      </c>
    </row>
    <row r="1100" spans="1:25" ht="18.75" customHeight="1" hidden="1">
      <c r="A1100" s="8"/>
      <c r="B1100" s="8"/>
      <c r="C1100" s="295"/>
      <c r="D1100" s="42"/>
      <c r="E1100" s="28"/>
      <c r="F1100" s="29"/>
      <c r="G1100" s="114"/>
      <c r="H1100" s="122"/>
      <c r="I1100" s="234"/>
      <c r="J1100" s="54"/>
      <c r="K1100" s="29"/>
      <c r="L1100" s="29"/>
      <c r="M1100" s="29"/>
      <c r="N1100" s="29"/>
      <c r="O1100" s="29"/>
      <c r="P1100" s="29"/>
      <c r="Q1100" s="29"/>
      <c r="R1100" s="29"/>
      <c r="S1100" s="29"/>
      <c r="T1100" s="29"/>
      <c r="U1100" s="29"/>
      <c r="V1100" s="29"/>
      <c r="W1100" s="29">
        <f t="shared" si="128"/>
        <v>0</v>
      </c>
      <c r="X1100" s="29"/>
      <c r="Y1100" s="29">
        <f t="shared" si="129"/>
        <v>0</v>
      </c>
    </row>
    <row r="1101" spans="1:25" ht="18.75" customHeight="1" hidden="1">
      <c r="A1101" s="8"/>
      <c r="B1101" s="8"/>
      <c r="C1101" s="295"/>
      <c r="D1101" s="42"/>
      <c r="E1101" s="28"/>
      <c r="F1101" s="29"/>
      <c r="G1101" s="114"/>
      <c r="H1101" s="122"/>
      <c r="I1101" s="234"/>
      <c r="J1101" s="54"/>
      <c r="K1101" s="29"/>
      <c r="L1101" s="29"/>
      <c r="M1101" s="29"/>
      <c r="N1101" s="29"/>
      <c r="O1101" s="29"/>
      <c r="P1101" s="29"/>
      <c r="Q1101" s="29"/>
      <c r="R1101" s="29"/>
      <c r="S1101" s="29"/>
      <c r="T1101" s="29"/>
      <c r="U1101" s="29"/>
      <c r="V1101" s="29"/>
      <c r="W1101" s="29">
        <f t="shared" si="128"/>
        <v>0</v>
      </c>
      <c r="X1101" s="29"/>
      <c r="Y1101" s="29">
        <f t="shared" si="129"/>
        <v>0</v>
      </c>
    </row>
    <row r="1102" spans="1:25" ht="18.75" customHeight="1" hidden="1">
      <c r="A1102" s="8"/>
      <c r="B1102" s="8"/>
      <c r="C1102" s="295"/>
      <c r="D1102" s="42"/>
      <c r="E1102" s="28"/>
      <c r="F1102" s="29"/>
      <c r="G1102" s="114"/>
      <c r="H1102" s="122"/>
      <c r="I1102" s="234"/>
      <c r="J1102" s="54"/>
      <c r="K1102" s="29"/>
      <c r="L1102" s="29"/>
      <c r="M1102" s="29"/>
      <c r="N1102" s="29"/>
      <c r="O1102" s="29"/>
      <c r="P1102" s="29"/>
      <c r="Q1102" s="29"/>
      <c r="R1102" s="29"/>
      <c r="S1102" s="29"/>
      <c r="T1102" s="29"/>
      <c r="U1102" s="29"/>
      <c r="V1102" s="29"/>
      <c r="W1102" s="29">
        <f t="shared" si="128"/>
        <v>0</v>
      </c>
      <c r="X1102" s="29"/>
      <c r="Y1102" s="29">
        <f t="shared" si="129"/>
        <v>0</v>
      </c>
    </row>
    <row r="1103" spans="1:25" ht="31.5" customHeight="1" hidden="1">
      <c r="A1103" s="8"/>
      <c r="B1103" s="8"/>
      <c r="C1103" s="295"/>
      <c r="D1103" s="42"/>
      <c r="E1103" s="30" t="s">
        <v>66</v>
      </c>
      <c r="F1103" s="31"/>
      <c r="G1103" s="125"/>
      <c r="H1103" s="145"/>
      <c r="I1103" s="240"/>
      <c r="J1103" s="60">
        <f>J1104</f>
        <v>0</v>
      </c>
      <c r="K1103" s="29"/>
      <c r="L1103" s="29"/>
      <c r="M1103" s="29"/>
      <c r="N1103" s="29"/>
      <c r="O1103" s="29"/>
      <c r="P1103" s="29"/>
      <c r="Q1103" s="29"/>
      <c r="R1103" s="29"/>
      <c r="S1103" s="29"/>
      <c r="T1103" s="29"/>
      <c r="U1103" s="29"/>
      <c r="V1103" s="29"/>
      <c r="W1103" s="29">
        <f t="shared" si="128"/>
        <v>0</v>
      </c>
      <c r="X1103" s="29"/>
      <c r="Y1103" s="29">
        <f t="shared" si="129"/>
        <v>0</v>
      </c>
    </row>
    <row r="1104" spans="1:25" ht="18.75" customHeight="1" hidden="1">
      <c r="A1104" s="8"/>
      <c r="B1104" s="8"/>
      <c r="C1104" s="295"/>
      <c r="D1104" s="42"/>
      <c r="E1104" s="74"/>
      <c r="F1104" s="150"/>
      <c r="G1104" s="134"/>
      <c r="H1104" s="151"/>
      <c r="I1104" s="244"/>
      <c r="J1104" s="152"/>
      <c r="K1104" s="29"/>
      <c r="L1104" s="29"/>
      <c r="M1104" s="29"/>
      <c r="N1104" s="29"/>
      <c r="O1104" s="29"/>
      <c r="P1104" s="29"/>
      <c r="Q1104" s="29"/>
      <c r="R1104" s="29"/>
      <c r="S1104" s="29"/>
      <c r="T1104" s="29"/>
      <c r="U1104" s="29"/>
      <c r="V1104" s="29"/>
      <c r="W1104" s="29">
        <f t="shared" si="128"/>
        <v>0</v>
      </c>
      <c r="X1104" s="29"/>
      <c r="Y1104" s="29">
        <f t="shared" si="129"/>
        <v>0</v>
      </c>
    </row>
    <row r="1105" spans="1:25" ht="56.25">
      <c r="A1105" s="115">
        <v>4800000</v>
      </c>
      <c r="B1105" s="153"/>
      <c r="C1105" s="96"/>
      <c r="D1105" s="20" t="s">
        <v>122</v>
      </c>
      <c r="E1105" s="154"/>
      <c r="F1105" s="155"/>
      <c r="G1105" s="156"/>
      <c r="H1105" s="155"/>
      <c r="I1105" s="245"/>
      <c r="J1105" s="92">
        <f>J1106</f>
        <v>171017631</v>
      </c>
      <c r="K1105" s="92">
        <f aca="true" t="shared" si="130" ref="K1105:X1105">K1106</f>
        <v>0</v>
      </c>
      <c r="L1105" s="92">
        <f t="shared" si="130"/>
        <v>1835800</v>
      </c>
      <c r="M1105" s="92">
        <f t="shared" si="130"/>
        <v>30907671.54</v>
      </c>
      <c r="N1105" s="92">
        <f t="shared" si="130"/>
        <v>22561500</v>
      </c>
      <c r="O1105" s="92">
        <f t="shared" si="130"/>
        <v>4770000</v>
      </c>
      <c r="P1105" s="92">
        <f t="shared" si="130"/>
        <v>2709084.46</v>
      </c>
      <c r="Q1105" s="92">
        <f t="shared" si="130"/>
        <v>20181395</v>
      </c>
      <c r="R1105" s="92">
        <f t="shared" si="130"/>
        <v>20372020</v>
      </c>
      <c r="S1105" s="92">
        <f t="shared" si="130"/>
        <v>10550000</v>
      </c>
      <c r="T1105" s="92">
        <f t="shared" si="130"/>
        <v>16018301</v>
      </c>
      <c r="U1105" s="92">
        <f t="shared" si="130"/>
        <v>28971000</v>
      </c>
      <c r="V1105" s="92">
        <f t="shared" si="130"/>
        <v>12140859</v>
      </c>
      <c r="W1105" s="92">
        <f t="shared" si="130"/>
        <v>-9.176801540888846E-10</v>
      </c>
      <c r="X1105" s="92">
        <f t="shared" si="130"/>
        <v>103968757.53</v>
      </c>
      <c r="Y1105" s="29">
        <f t="shared" si="129"/>
        <v>25937014.47</v>
      </c>
    </row>
    <row r="1106" spans="1:25" ht="56.25">
      <c r="A1106" s="115">
        <v>4810000</v>
      </c>
      <c r="B1106" s="153"/>
      <c r="C1106" s="96"/>
      <c r="D1106" s="20" t="s">
        <v>122</v>
      </c>
      <c r="E1106" s="154"/>
      <c r="F1106" s="155"/>
      <c r="G1106" s="156"/>
      <c r="H1106" s="155"/>
      <c r="I1106" s="245"/>
      <c r="J1106" s="92">
        <f aca="true" t="shared" si="131" ref="J1106:Y1106">J1107+J1114+J1132+J1151+J1154+J1156+J1192+J1198+J1195</f>
        <v>171017631</v>
      </c>
      <c r="K1106" s="92">
        <f t="shared" si="131"/>
        <v>0</v>
      </c>
      <c r="L1106" s="92">
        <f t="shared" si="131"/>
        <v>1835800</v>
      </c>
      <c r="M1106" s="92">
        <f t="shared" si="131"/>
        <v>30907671.54</v>
      </c>
      <c r="N1106" s="92">
        <f t="shared" si="131"/>
        <v>22561500</v>
      </c>
      <c r="O1106" s="92">
        <f t="shared" si="131"/>
        <v>4770000</v>
      </c>
      <c r="P1106" s="92">
        <f t="shared" si="131"/>
        <v>2709084.46</v>
      </c>
      <c r="Q1106" s="92">
        <f t="shared" si="131"/>
        <v>20181395</v>
      </c>
      <c r="R1106" s="92">
        <f t="shared" si="131"/>
        <v>20372020</v>
      </c>
      <c r="S1106" s="92">
        <f t="shared" si="131"/>
        <v>10550000</v>
      </c>
      <c r="T1106" s="92">
        <f t="shared" si="131"/>
        <v>16018301</v>
      </c>
      <c r="U1106" s="92">
        <f t="shared" si="131"/>
        <v>28971000</v>
      </c>
      <c r="V1106" s="92">
        <f t="shared" si="131"/>
        <v>12140859</v>
      </c>
      <c r="W1106" s="92">
        <f t="shared" si="131"/>
        <v>-9.176801540888846E-10</v>
      </c>
      <c r="X1106" s="92">
        <f t="shared" si="131"/>
        <v>103968757.53</v>
      </c>
      <c r="Y1106" s="29">
        <f t="shared" si="131"/>
        <v>25937014.470000003</v>
      </c>
    </row>
    <row r="1107" spans="1:25" ht="18.75">
      <c r="A1107" s="291" t="s">
        <v>28</v>
      </c>
      <c r="B1107" s="291" t="s">
        <v>80</v>
      </c>
      <c r="C1107" s="310" t="s">
        <v>79</v>
      </c>
      <c r="D1107" s="283" t="s">
        <v>72</v>
      </c>
      <c r="E1107" s="65"/>
      <c r="F1107" s="65"/>
      <c r="G1107" s="65"/>
      <c r="H1107" s="65"/>
      <c r="I1107" s="255"/>
      <c r="J1107" s="31">
        <f>SUM(J1108:J1113)</f>
        <v>545060</v>
      </c>
      <c r="K1107" s="31">
        <f aca="true" t="shared" si="132" ref="K1107:V1107">SUM(K1108:K1113)</f>
        <v>0</v>
      </c>
      <c r="L1107" s="31">
        <f t="shared" si="132"/>
        <v>0</v>
      </c>
      <c r="M1107" s="31">
        <f t="shared" si="132"/>
        <v>0</v>
      </c>
      <c r="N1107" s="31">
        <f t="shared" si="132"/>
        <v>47000</v>
      </c>
      <c r="O1107" s="31">
        <f t="shared" si="132"/>
        <v>502000</v>
      </c>
      <c r="P1107" s="31">
        <f t="shared" si="132"/>
        <v>-500000</v>
      </c>
      <c r="Q1107" s="31">
        <f t="shared" si="132"/>
        <v>415000</v>
      </c>
      <c r="R1107" s="31">
        <f t="shared" si="132"/>
        <v>85000</v>
      </c>
      <c r="S1107" s="31">
        <f t="shared" si="132"/>
        <v>0</v>
      </c>
      <c r="T1107" s="31">
        <f>SUM(T1108:T1113)</f>
        <v>-3940</v>
      </c>
      <c r="U1107" s="31">
        <f t="shared" si="132"/>
        <v>0</v>
      </c>
      <c r="V1107" s="31">
        <f t="shared" si="132"/>
        <v>0</v>
      </c>
      <c r="W1107" s="31">
        <f>SUM(W1108:W1113)</f>
        <v>0</v>
      </c>
      <c r="X1107" s="31">
        <f>SUM(X1108:X1113)</f>
        <v>461979.98</v>
      </c>
      <c r="Y1107" s="29">
        <f t="shared" si="129"/>
        <v>83080.02000000002</v>
      </c>
    </row>
    <row r="1108" spans="1:25" ht="18.75">
      <c r="A1108" s="293"/>
      <c r="B1108" s="293"/>
      <c r="C1108" s="312"/>
      <c r="D1108" s="284"/>
      <c r="E1108" s="86" t="s">
        <v>342</v>
      </c>
      <c r="F1108" s="86"/>
      <c r="G1108" s="86"/>
      <c r="H1108" s="86"/>
      <c r="I1108" s="225">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8"/>
        <v>0</v>
      </c>
      <c r="X1108" s="29">
        <f>414980</f>
        <v>414980</v>
      </c>
      <c r="Y1108" s="29">
        <f t="shared" si="129"/>
        <v>0</v>
      </c>
    </row>
    <row r="1109" spans="1:25" ht="54" hidden="1">
      <c r="A1109" s="293"/>
      <c r="B1109" s="293"/>
      <c r="C1109" s="312"/>
      <c r="D1109" s="284"/>
      <c r="E1109" s="86" t="s">
        <v>343</v>
      </c>
      <c r="F1109" s="86"/>
      <c r="G1109" s="86"/>
      <c r="H1109" s="86"/>
      <c r="I1109" s="225">
        <v>3110</v>
      </c>
      <c r="J1109" s="29">
        <f>15480-15480</f>
        <v>0</v>
      </c>
      <c r="K1109" s="29"/>
      <c r="L1109" s="29"/>
      <c r="M1109" s="29"/>
      <c r="N1109" s="29"/>
      <c r="O1109" s="29"/>
      <c r="P1109" s="29"/>
      <c r="Q1109" s="29"/>
      <c r="R1109" s="29">
        <f>15480-15480</f>
        <v>0</v>
      </c>
      <c r="S1109" s="29"/>
      <c r="T1109" s="29"/>
      <c r="U1109" s="29"/>
      <c r="V1109" s="29"/>
      <c r="W1109" s="29">
        <f t="shared" si="128"/>
        <v>0</v>
      </c>
      <c r="X1109" s="29"/>
      <c r="Y1109" s="29">
        <f t="shared" si="129"/>
        <v>0</v>
      </c>
    </row>
    <row r="1110" spans="1:25" ht="75">
      <c r="A1110" s="293"/>
      <c r="B1110" s="293"/>
      <c r="C1110" s="312"/>
      <c r="D1110" s="284"/>
      <c r="E1110" s="86" t="s">
        <v>398</v>
      </c>
      <c r="F1110" s="86"/>
      <c r="G1110" s="86"/>
      <c r="H1110" s="86"/>
      <c r="I1110" s="225">
        <v>3110</v>
      </c>
      <c r="J1110" s="29">
        <v>52320</v>
      </c>
      <c r="K1110" s="29"/>
      <c r="L1110" s="29"/>
      <c r="M1110" s="29"/>
      <c r="N1110" s="29"/>
      <c r="O1110" s="29"/>
      <c r="P1110" s="29"/>
      <c r="Q1110" s="29"/>
      <c r="R1110" s="29"/>
      <c r="S1110" s="29"/>
      <c r="T1110" s="29">
        <v>52320</v>
      </c>
      <c r="U1110" s="29"/>
      <c r="V1110" s="29"/>
      <c r="W1110" s="29">
        <f t="shared" si="128"/>
        <v>0</v>
      </c>
      <c r="X1110" s="29"/>
      <c r="Y1110" s="29">
        <f t="shared" si="129"/>
        <v>52320</v>
      </c>
    </row>
    <row r="1111" spans="1:25" ht="18.75">
      <c r="A1111" s="293"/>
      <c r="B1111" s="293"/>
      <c r="C1111" s="312"/>
      <c r="D1111" s="284"/>
      <c r="E1111" s="86" t="s">
        <v>399</v>
      </c>
      <c r="F1111" s="86"/>
      <c r="G1111" s="86"/>
      <c r="H1111" s="86"/>
      <c r="I1111" s="225">
        <v>3110</v>
      </c>
      <c r="J1111" s="29">
        <v>17600</v>
      </c>
      <c r="K1111" s="29"/>
      <c r="L1111" s="29"/>
      <c r="M1111" s="29"/>
      <c r="N1111" s="29"/>
      <c r="O1111" s="29"/>
      <c r="P1111" s="29"/>
      <c r="Q1111" s="29"/>
      <c r="R1111" s="29"/>
      <c r="S1111" s="29"/>
      <c r="T1111" s="29">
        <v>17600</v>
      </c>
      <c r="U1111" s="29"/>
      <c r="V1111" s="29"/>
      <c r="W1111" s="29">
        <f t="shared" si="128"/>
        <v>0</v>
      </c>
      <c r="X1111" s="29"/>
      <c r="Y1111" s="29">
        <f t="shared" si="129"/>
        <v>17600</v>
      </c>
    </row>
    <row r="1112" spans="1:25" ht="56.25">
      <c r="A1112" s="293"/>
      <c r="B1112" s="293"/>
      <c r="C1112" s="312"/>
      <c r="D1112" s="284"/>
      <c r="E1112" s="86" t="s">
        <v>400</v>
      </c>
      <c r="F1112" s="86"/>
      <c r="G1112" s="86"/>
      <c r="H1112" s="86"/>
      <c r="I1112" s="225">
        <v>3110</v>
      </c>
      <c r="J1112" s="29">
        <v>13160</v>
      </c>
      <c r="K1112" s="29"/>
      <c r="L1112" s="29"/>
      <c r="M1112" s="29"/>
      <c r="N1112" s="29"/>
      <c r="O1112" s="29"/>
      <c r="P1112" s="29"/>
      <c r="Q1112" s="29"/>
      <c r="R1112" s="29"/>
      <c r="S1112" s="29"/>
      <c r="T1112" s="29">
        <v>13160</v>
      </c>
      <c r="U1112" s="29"/>
      <c r="V1112" s="29"/>
      <c r="W1112" s="29">
        <f t="shared" si="128"/>
        <v>0</v>
      </c>
      <c r="X1112" s="29"/>
      <c r="Y1112" s="29">
        <f t="shared" si="129"/>
        <v>13160</v>
      </c>
    </row>
    <row r="1113" spans="1:25" ht="65.25" customHeight="1">
      <c r="A1113" s="293"/>
      <c r="B1113" s="292"/>
      <c r="C1113" s="312"/>
      <c r="D1113" s="284"/>
      <c r="E1113" s="86" t="s">
        <v>135</v>
      </c>
      <c r="F1113" s="86"/>
      <c r="G1113" s="86"/>
      <c r="H1113" s="86"/>
      <c r="I1113" s="225">
        <v>3110</v>
      </c>
      <c r="J1113" s="29">
        <v>47000</v>
      </c>
      <c r="K1113" s="29"/>
      <c r="L1113" s="29"/>
      <c r="M1113" s="29"/>
      <c r="N1113" s="29">
        <v>47000</v>
      </c>
      <c r="O1113" s="29">
        <f>47000-47000</f>
        <v>0</v>
      </c>
      <c r="P1113" s="29"/>
      <c r="Q1113" s="29"/>
      <c r="R1113" s="29"/>
      <c r="S1113" s="29"/>
      <c r="T1113" s="29"/>
      <c r="U1113" s="29"/>
      <c r="V1113" s="29"/>
      <c r="W1113" s="29">
        <f t="shared" si="128"/>
        <v>0</v>
      </c>
      <c r="X1113" s="29">
        <v>46999.98</v>
      </c>
      <c r="Y1113" s="29">
        <f t="shared" si="129"/>
        <v>0.01999999999679858</v>
      </c>
    </row>
    <row r="1114" spans="1:25" ht="18.75">
      <c r="A1114" s="294" t="s">
        <v>599</v>
      </c>
      <c r="B1114" s="294" t="s">
        <v>1118</v>
      </c>
      <c r="C1114" s="294" t="s">
        <v>85</v>
      </c>
      <c r="D1114" s="283" t="s">
        <v>1088</v>
      </c>
      <c r="E1114" s="65"/>
      <c r="F1114" s="65"/>
      <c r="G1114" s="65"/>
      <c r="H1114" s="65"/>
      <c r="I1114" s="255"/>
      <c r="J1114" s="31">
        <f>SUM(J1115:J1118)</f>
        <v>174000</v>
      </c>
      <c r="K1114" s="31">
        <f aca="true" t="shared" si="133" ref="K1114:X1114">SUM(K1115:K1118)</f>
        <v>0</v>
      </c>
      <c r="L1114" s="31">
        <f t="shared" si="133"/>
        <v>0</v>
      </c>
      <c r="M1114" s="31">
        <f t="shared" si="133"/>
        <v>0</v>
      </c>
      <c r="N1114" s="31">
        <f t="shared" si="133"/>
        <v>1000000</v>
      </c>
      <c r="O1114" s="31">
        <f t="shared" si="133"/>
        <v>-1000000</v>
      </c>
      <c r="P1114" s="31">
        <f t="shared" si="133"/>
        <v>0</v>
      </c>
      <c r="Q1114" s="31">
        <f t="shared" si="133"/>
        <v>1000000</v>
      </c>
      <c r="R1114" s="31">
        <f t="shared" si="133"/>
        <v>0</v>
      </c>
      <c r="S1114" s="31">
        <f t="shared" si="133"/>
        <v>-1000000</v>
      </c>
      <c r="T1114" s="31">
        <f t="shared" si="133"/>
        <v>0</v>
      </c>
      <c r="U1114" s="31">
        <f t="shared" si="133"/>
        <v>80000</v>
      </c>
      <c r="V1114" s="31">
        <f t="shared" si="133"/>
        <v>94000</v>
      </c>
      <c r="W1114" s="31">
        <f t="shared" si="133"/>
        <v>0</v>
      </c>
      <c r="X1114" s="31">
        <f t="shared" si="133"/>
        <v>0</v>
      </c>
      <c r="Y1114" s="29">
        <f t="shared" si="129"/>
        <v>0</v>
      </c>
    </row>
    <row r="1115" spans="1:25" ht="66.75" customHeight="1" hidden="1">
      <c r="A1115" s="295"/>
      <c r="B1115" s="295"/>
      <c r="C1115" s="295"/>
      <c r="D1115" s="284"/>
      <c r="E1115" s="43" t="s">
        <v>136</v>
      </c>
      <c r="F1115" s="135">
        <f>J1115</f>
        <v>0</v>
      </c>
      <c r="G1115" s="134">
        <v>1</v>
      </c>
      <c r="H1115" s="135">
        <f>J1115</f>
        <v>0</v>
      </c>
      <c r="I1115" s="233">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8"/>
        <v>0</v>
      </c>
      <c r="X1115" s="29"/>
      <c r="Y1115" s="29">
        <f t="shared" si="129"/>
        <v>0</v>
      </c>
    </row>
    <row r="1116" spans="1:25" ht="56.25">
      <c r="A1116" s="295"/>
      <c r="B1116" s="295"/>
      <c r="C1116" s="295"/>
      <c r="D1116" s="284"/>
      <c r="E1116" s="43" t="s">
        <v>1044</v>
      </c>
      <c r="F1116" s="135">
        <f>J1116</f>
        <v>10000</v>
      </c>
      <c r="G1116" s="134">
        <v>1</v>
      </c>
      <c r="H1116" s="135">
        <f>J1116</f>
        <v>10000</v>
      </c>
      <c r="I1116" s="233">
        <v>3132</v>
      </c>
      <c r="J1116" s="40">
        <f>400000-390000</f>
        <v>10000</v>
      </c>
      <c r="K1116" s="29"/>
      <c r="L1116" s="29"/>
      <c r="M1116" s="29"/>
      <c r="N1116" s="29"/>
      <c r="O1116" s="29"/>
      <c r="P1116" s="29"/>
      <c r="Q1116" s="29"/>
      <c r="R1116" s="29"/>
      <c r="S1116" s="29"/>
      <c r="T1116" s="29"/>
      <c r="U1116" s="29"/>
      <c r="V1116" s="29">
        <f>400000-390000</f>
        <v>10000</v>
      </c>
      <c r="W1116" s="29">
        <f t="shared" si="128"/>
        <v>0</v>
      </c>
      <c r="X1116" s="29"/>
      <c r="Y1116" s="29">
        <f t="shared" si="129"/>
        <v>0</v>
      </c>
    </row>
    <row r="1117" spans="1:25" ht="75">
      <c r="A1117" s="295"/>
      <c r="B1117" s="295"/>
      <c r="C1117" s="295"/>
      <c r="D1117" s="284"/>
      <c r="E1117" s="43" t="s">
        <v>890</v>
      </c>
      <c r="F1117" s="135">
        <f>J1117</f>
        <v>164000</v>
      </c>
      <c r="G1117" s="134">
        <v>1</v>
      </c>
      <c r="H1117" s="135">
        <f>J1117</f>
        <v>164000</v>
      </c>
      <c r="I1117" s="233">
        <v>3132</v>
      </c>
      <c r="J1117" s="40">
        <v>164000</v>
      </c>
      <c r="K1117" s="29"/>
      <c r="L1117" s="29"/>
      <c r="M1117" s="29"/>
      <c r="N1117" s="29"/>
      <c r="O1117" s="29"/>
      <c r="P1117" s="29"/>
      <c r="Q1117" s="29"/>
      <c r="R1117" s="29"/>
      <c r="S1117" s="29"/>
      <c r="T1117" s="29"/>
      <c r="U1117" s="29">
        <v>80000</v>
      </c>
      <c r="V1117" s="29">
        <v>84000</v>
      </c>
      <c r="W1117" s="29">
        <f t="shared" si="128"/>
        <v>0</v>
      </c>
      <c r="X1117" s="29"/>
      <c r="Y1117" s="29">
        <f t="shared" si="129"/>
        <v>0</v>
      </c>
    </row>
    <row r="1118" spans="1:25" ht="18" hidden="1">
      <c r="A1118" s="295"/>
      <c r="B1118" s="296"/>
      <c r="C1118" s="295"/>
      <c r="D1118" s="284"/>
      <c r="E1118" s="36"/>
      <c r="F1118" s="36"/>
      <c r="G1118" s="36"/>
      <c r="H1118" s="36"/>
      <c r="I1118" s="223"/>
      <c r="J1118" s="40"/>
      <c r="K1118" s="29"/>
      <c r="L1118" s="29"/>
      <c r="M1118" s="29"/>
      <c r="N1118" s="29"/>
      <c r="O1118" s="29"/>
      <c r="P1118" s="29"/>
      <c r="Q1118" s="29"/>
      <c r="R1118" s="29"/>
      <c r="S1118" s="29"/>
      <c r="T1118" s="29"/>
      <c r="U1118" s="29"/>
      <c r="V1118" s="29"/>
      <c r="W1118" s="29">
        <f t="shared" si="128"/>
        <v>0</v>
      </c>
      <c r="X1118" s="29"/>
      <c r="Y1118" s="29">
        <f t="shared" si="129"/>
        <v>0</v>
      </c>
    </row>
    <row r="1119" spans="1:25" ht="18" customHeight="1" hidden="1">
      <c r="A1119" s="307" t="s">
        <v>720</v>
      </c>
      <c r="B1119" s="6"/>
      <c r="C1119" s="307" t="s">
        <v>721</v>
      </c>
      <c r="D1119" s="326" t="s">
        <v>879</v>
      </c>
      <c r="E1119" s="65"/>
      <c r="F1119" s="65"/>
      <c r="G1119" s="65"/>
      <c r="H1119" s="65"/>
      <c r="I1119" s="255"/>
      <c r="J1119" s="10">
        <f>J1120</f>
        <v>0</v>
      </c>
      <c r="K1119" s="29"/>
      <c r="L1119" s="29"/>
      <c r="M1119" s="29"/>
      <c r="N1119" s="29"/>
      <c r="O1119" s="29"/>
      <c r="P1119" s="29"/>
      <c r="Q1119" s="29"/>
      <c r="R1119" s="29"/>
      <c r="S1119" s="29"/>
      <c r="T1119" s="29"/>
      <c r="U1119" s="29"/>
      <c r="V1119" s="29"/>
      <c r="W1119" s="29">
        <f t="shared" si="128"/>
        <v>0</v>
      </c>
      <c r="X1119" s="29"/>
      <c r="Y1119" s="29">
        <f t="shared" si="129"/>
        <v>0</v>
      </c>
    </row>
    <row r="1120" spans="1:25" ht="18" hidden="1">
      <c r="A1120" s="308"/>
      <c r="B1120" s="15"/>
      <c r="C1120" s="308"/>
      <c r="D1120" s="327"/>
      <c r="E1120" s="28"/>
      <c r="F1120" s="28"/>
      <c r="G1120" s="28"/>
      <c r="H1120" s="28"/>
      <c r="I1120" s="225"/>
      <c r="J1120" s="29"/>
      <c r="K1120" s="29"/>
      <c r="L1120" s="29"/>
      <c r="M1120" s="29"/>
      <c r="N1120" s="29"/>
      <c r="O1120" s="29"/>
      <c r="P1120" s="29"/>
      <c r="Q1120" s="29"/>
      <c r="R1120" s="29"/>
      <c r="S1120" s="29"/>
      <c r="T1120" s="29"/>
      <c r="U1120" s="29"/>
      <c r="V1120" s="29"/>
      <c r="W1120" s="29">
        <f t="shared" si="128"/>
        <v>0</v>
      </c>
      <c r="X1120" s="29"/>
      <c r="Y1120" s="29">
        <f t="shared" si="129"/>
        <v>0</v>
      </c>
    </row>
    <row r="1121" spans="1:25" ht="18" hidden="1">
      <c r="A1121" s="291" t="s">
        <v>1021</v>
      </c>
      <c r="B1121" s="48"/>
      <c r="C1121" s="291" t="s">
        <v>1020</v>
      </c>
      <c r="D1121" s="283" t="s">
        <v>645</v>
      </c>
      <c r="E1121" s="30"/>
      <c r="F1121" s="30"/>
      <c r="G1121" s="30"/>
      <c r="H1121" s="30"/>
      <c r="I1121" s="226"/>
      <c r="J1121" s="87">
        <f>J1122</f>
        <v>0</v>
      </c>
      <c r="K1121" s="29"/>
      <c r="L1121" s="29"/>
      <c r="M1121" s="29"/>
      <c r="N1121" s="29"/>
      <c r="O1121" s="29"/>
      <c r="P1121" s="29"/>
      <c r="Q1121" s="29"/>
      <c r="R1121" s="29"/>
      <c r="S1121" s="29"/>
      <c r="T1121" s="29"/>
      <c r="U1121" s="29"/>
      <c r="V1121" s="29"/>
      <c r="W1121" s="29">
        <f t="shared" si="128"/>
        <v>0</v>
      </c>
      <c r="X1121" s="29"/>
      <c r="Y1121" s="29">
        <f t="shared" si="129"/>
        <v>0</v>
      </c>
    </row>
    <row r="1122" spans="1:25" ht="18" hidden="1">
      <c r="A1122" s="292"/>
      <c r="B1122" s="51"/>
      <c r="C1122" s="292"/>
      <c r="D1122" s="284"/>
      <c r="E1122" s="90"/>
      <c r="F1122" s="90"/>
      <c r="G1122" s="90"/>
      <c r="H1122" s="90"/>
      <c r="I1122" s="255"/>
      <c r="J1122" s="89"/>
      <c r="K1122" s="29"/>
      <c r="L1122" s="29"/>
      <c r="M1122" s="29"/>
      <c r="N1122" s="29"/>
      <c r="O1122" s="29"/>
      <c r="P1122" s="29"/>
      <c r="Q1122" s="29"/>
      <c r="R1122" s="29"/>
      <c r="S1122" s="29"/>
      <c r="T1122" s="29"/>
      <c r="U1122" s="29"/>
      <c r="V1122" s="29"/>
      <c r="W1122" s="29">
        <f t="shared" si="128"/>
        <v>0</v>
      </c>
      <c r="X1122" s="29"/>
      <c r="Y1122" s="29">
        <f t="shared" si="129"/>
        <v>0</v>
      </c>
    </row>
    <row r="1123" spans="1:25" ht="18" hidden="1">
      <c r="A1123" s="294" t="s">
        <v>646</v>
      </c>
      <c r="B1123" s="41"/>
      <c r="C1123" s="294" t="s">
        <v>647</v>
      </c>
      <c r="D1123" s="283" t="s">
        <v>216</v>
      </c>
      <c r="E1123" s="65"/>
      <c r="F1123" s="65"/>
      <c r="G1123" s="65"/>
      <c r="H1123" s="65"/>
      <c r="I1123" s="255"/>
      <c r="J1123" s="87">
        <f>SUM(J1124:J1127)</f>
        <v>0</v>
      </c>
      <c r="K1123" s="29"/>
      <c r="L1123" s="29"/>
      <c r="M1123" s="29"/>
      <c r="N1123" s="29"/>
      <c r="O1123" s="29"/>
      <c r="P1123" s="29"/>
      <c r="Q1123" s="29"/>
      <c r="R1123" s="29"/>
      <c r="S1123" s="29"/>
      <c r="T1123" s="29"/>
      <c r="U1123" s="29"/>
      <c r="V1123" s="29"/>
      <c r="W1123" s="29">
        <f t="shared" si="128"/>
        <v>0</v>
      </c>
      <c r="X1123" s="29"/>
      <c r="Y1123" s="29">
        <f t="shared" si="129"/>
        <v>0</v>
      </c>
    </row>
    <row r="1124" spans="1:25" ht="18" hidden="1">
      <c r="A1124" s="295"/>
      <c r="B1124" s="42"/>
      <c r="C1124" s="295"/>
      <c r="D1124" s="284"/>
      <c r="E1124" s="28"/>
      <c r="F1124" s="28"/>
      <c r="G1124" s="28"/>
      <c r="H1124" s="28"/>
      <c r="I1124" s="225"/>
      <c r="J1124" s="88"/>
      <c r="K1124" s="29"/>
      <c r="L1124" s="29"/>
      <c r="M1124" s="29"/>
      <c r="N1124" s="29"/>
      <c r="O1124" s="29"/>
      <c r="P1124" s="29"/>
      <c r="Q1124" s="29"/>
      <c r="R1124" s="29"/>
      <c r="S1124" s="29"/>
      <c r="T1124" s="29"/>
      <c r="U1124" s="29"/>
      <c r="V1124" s="29"/>
      <c r="W1124" s="29">
        <f t="shared" si="128"/>
        <v>0</v>
      </c>
      <c r="X1124" s="29"/>
      <c r="Y1124" s="29">
        <f t="shared" si="129"/>
        <v>0</v>
      </c>
    </row>
    <row r="1125" spans="1:25" ht="18" hidden="1">
      <c r="A1125" s="295"/>
      <c r="B1125" s="42"/>
      <c r="C1125" s="295"/>
      <c r="D1125" s="284"/>
      <c r="E1125" s="28"/>
      <c r="F1125" s="28"/>
      <c r="G1125" s="28"/>
      <c r="H1125" s="28"/>
      <c r="I1125" s="225"/>
      <c r="J1125" s="88"/>
      <c r="K1125" s="29"/>
      <c r="L1125" s="29"/>
      <c r="M1125" s="29"/>
      <c r="N1125" s="29"/>
      <c r="O1125" s="29"/>
      <c r="P1125" s="29"/>
      <c r="Q1125" s="29"/>
      <c r="R1125" s="29"/>
      <c r="S1125" s="29"/>
      <c r="T1125" s="29"/>
      <c r="U1125" s="29"/>
      <c r="V1125" s="29"/>
      <c r="W1125" s="29">
        <f aca="true" t="shared" si="134" ref="W1125:W1194">J1125-K1125-L1125-M1125-N1125-O1125-P1125-Q1125-R1125-S1125-T1125-U1125-V1125</f>
        <v>0</v>
      </c>
      <c r="X1125" s="29"/>
      <c r="Y1125" s="29">
        <f t="shared" si="129"/>
        <v>0</v>
      </c>
    </row>
    <row r="1126" spans="1:25" ht="18" hidden="1">
      <c r="A1126" s="295"/>
      <c r="B1126" s="42"/>
      <c r="C1126" s="295"/>
      <c r="D1126" s="284"/>
      <c r="E1126" s="28"/>
      <c r="F1126" s="28"/>
      <c r="G1126" s="28"/>
      <c r="H1126" s="28"/>
      <c r="I1126" s="225"/>
      <c r="J1126" s="88"/>
      <c r="K1126" s="29"/>
      <c r="L1126" s="29"/>
      <c r="M1126" s="29"/>
      <c r="N1126" s="29"/>
      <c r="O1126" s="29"/>
      <c r="P1126" s="29"/>
      <c r="Q1126" s="29"/>
      <c r="R1126" s="29"/>
      <c r="S1126" s="29"/>
      <c r="T1126" s="29"/>
      <c r="U1126" s="29"/>
      <c r="V1126" s="29"/>
      <c r="W1126" s="29">
        <f t="shared" si="134"/>
        <v>0</v>
      </c>
      <c r="X1126" s="29"/>
      <c r="Y1126" s="29">
        <f t="shared" si="129"/>
        <v>0</v>
      </c>
    </row>
    <row r="1127" spans="1:25" ht="18" hidden="1">
      <c r="A1127" s="296"/>
      <c r="B1127" s="56"/>
      <c r="C1127" s="296"/>
      <c r="D1127" s="301"/>
      <c r="E1127" s="28"/>
      <c r="F1127" s="28"/>
      <c r="G1127" s="28"/>
      <c r="H1127" s="28"/>
      <c r="I1127" s="225"/>
      <c r="J1127" s="89"/>
      <c r="K1127" s="29"/>
      <c r="L1127" s="29"/>
      <c r="M1127" s="29"/>
      <c r="N1127" s="29"/>
      <c r="O1127" s="29"/>
      <c r="P1127" s="29"/>
      <c r="Q1127" s="29"/>
      <c r="R1127" s="29"/>
      <c r="S1127" s="29"/>
      <c r="T1127" s="29"/>
      <c r="U1127" s="29"/>
      <c r="V1127" s="29"/>
      <c r="W1127" s="29">
        <f t="shared" si="134"/>
        <v>0</v>
      </c>
      <c r="X1127" s="29"/>
      <c r="Y1127" s="29">
        <f t="shared" si="129"/>
        <v>0</v>
      </c>
    </row>
    <row r="1128" spans="1:25" ht="18" hidden="1">
      <c r="A1128" s="294" t="s">
        <v>202</v>
      </c>
      <c r="B1128" s="41"/>
      <c r="C1128" s="294" t="s">
        <v>201</v>
      </c>
      <c r="D1128" s="283" t="s">
        <v>229</v>
      </c>
      <c r="E1128" s="65"/>
      <c r="F1128" s="65"/>
      <c r="G1128" s="65"/>
      <c r="H1128" s="65"/>
      <c r="I1128" s="255"/>
      <c r="J1128" s="87">
        <f>SUM(J1129:J1131)</f>
        <v>0</v>
      </c>
      <c r="K1128" s="29"/>
      <c r="L1128" s="29"/>
      <c r="M1128" s="29"/>
      <c r="N1128" s="29"/>
      <c r="O1128" s="29"/>
      <c r="P1128" s="29"/>
      <c r="Q1128" s="29"/>
      <c r="R1128" s="29"/>
      <c r="S1128" s="29"/>
      <c r="T1128" s="29"/>
      <c r="U1128" s="29"/>
      <c r="V1128" s="29"/>
      <c r="W1128" s="29">
        <f t="shared" si="134"/>
        <v>0</v>
      </c>
      <c r="X1128" s="29"/>
      <c r="Y1128" s="29">
        <f t="shared" si="129"/>
        <v>0</v>
      </c>
    </row>
    <row r="1129" spans="1:25" ht="18" hidden="1">
      <c r="A1129" s="295"/>
      <c r="B1129" s="42"/>
      <c r="C1129" s="295"/>
      <c r="D1129" s="284"/>
      <c r="E1129" s="28"/>
      <c r="F1129" s="28"/>
      <c r="G1129" s="28"/>
      <c r="H1129" s="28"/>
      <c r="I1129" s="225"/>
      <c r="J1129" s="88"/>
      <c r="K1129" s="29"/>
      <c r="L1129" s="29"/>
      <c r="M1129" s="29"/>
      <c r="N1129" s="29"/>
      <c r="O1129" s="29"/>
      <c r="P1129" s="29"/>
      <c r="Q1129" s="29"/>
      <c r="R1129" s="29"/>
      <c r="S1129" s="29"/>
      <c r="T1129" s="29"/>
      <c r="U1129" s="29"/>
      <c r="V1129" s="29"/>
      <c r="W1129" s="29">
        <f t="shared" si="134"/>
        <v>0</v>
      </c>
      <c r="X1129" s="29"/>
      <c r="Y1129" s="29">
        <f t="shared" si="129"/>
        <v>0</v>
      </c>
    </row>
    <row r="1130" spans="1:25" ht="18" hidden="1">
      <c r="A1130" s="295"/>
      <c r="B1130" s="42"/>
      <c r="C1130" s="295"/>
      <c r="D1130" s="284"/>
      <c r="E1130" s="28"/>
      <c r="F1130" s="28"/>
      <c r="G1130" s="28"/>
      <c r="H1130" s="28"/>
      <c r="I1130" s="225"/>
      <c r="J1130" s="88"/>
      <c r="K1130" s="29"/>
      <c r="L1130" s="29"/>
      <c r="M1130" s="29"/>
      <c r="N1130" s="29"/>
      <c r="O1130" s="29"/>
      <c r="P1130" s="29"/>
      <c r="Q1130" s="29"/>
      <c r="R1130" s="29"/>
      <c r="S1130" s="29"/>
      <c r="T1130" s="29"/>
      <c r="U1130" s="29"/>
      <c r="V1130" s="29"/>
      <c r="W1130" s="29">
        <f t="shared" si="134"/>
        <v>0</v>
      </c>
      <c r="X1130" s="29"/>
      <c r="Y1130" s="29">
        <f t="shared" si="129"/>
        <v>0</v>
      </c>
    </row>
    <row r="1131" spans="1:25" ht="18" hidden="1">
      <c r="A1131" s="296"/>
      <c r="B1131" s="56"/>
      <c r="C1131" s="296"/>
      <c r="D1131" s="301"/>
      <c r="E1131" s="28"/>
      <c r="F1131" s="28"/>
      <c r="G1131" s="28"/>
      <c r="H1131" s="28"/>
      <c r="I1131" s="225"/>
      <c r="J1131" s="89"/>
      <c r="K1131" s="29"/>
      <c r="L1131" s="29"/>
      <c r="M1131" s="29"/>
      <c r="N1131" s="29"/>
      <c r="O1131" s="29"/>
      <c r="P1131" s="29"/>
      <c r="Q1131" s="29"/>
      <c r="R1131" s="29"/>
      <c r="S1131" s="29"/>
      <c r="T1131" s="29"/>
      <c r="U1131" s="29"/>
      <c r="V1131" s="29"/>
      <c r="W1131" s="29">
        <f t="shared" si="134"/>
        <v>0</v>
      </c>
      <c r="X1131" s="29"/>
      <c r="Y1131" s="29">
        <f t="shared" si="129"/>
        <v>0</v>
      </c>
    </row>
    <row r="1132" spans="1:25" ht="18.75">
      <c r="A1132" s="294" t="s">
        <v>1131</v>
      </c>
      <c r="B1132" s="294" t="s">
        <v>1148</v>
      </c>
      <c r="C1132" s="294" t="s">
        <v>222</v>
      </c>
      <c r="D1132" s="283" t="s">
        <v>903</v>
      </c>
      <c r="E1132" s="65"/>
      <c r="F1132" s="65"/>
      <c r="G1132" s="65"/>
      <c r="H1132" s="65"/>
      <c r="I1132" s="255"/>
      <c r="J1132" s="31">
        <f>SUM(J1133:J1150)</f>
        <v>9619136.7</v>
      </c>
      <c r="K1132" s="31">
        <f aca="true" t="shared" si="135" ref="K1132:X1132">SUM(K1133:K1150)</f>
        <v>0</v>
      </c>
      <c r="L1132" s="31">
        <f t="shared" si="135"/>
        <v>235800</v>
      </c>
      <c r="M1132" s="31">
        <f t="shared" si="135"/>
        <v>585000</v>
      </c>
      <c r="N1132" s="31">
        <f t="shared" si="135"/>
        <v>4944470</v>
      </c>
      <c r="O1132" s="31">
        <f t="shared" si="135"/>
        <v>-1363000</v>
      </c>
      <c r="P1132" s="31">
        <f t="shared" si="135"/>
        <v>-219244</v>
      </c>
      <c r="Q1132" s="31">
        <f t="shared" si="135"/>
        <v>5975000</v>
      </c>
      <c r="R1132" s="31">
        <f t="shared" si="135"/>
        <v>928315</v>
      </c>
      <c r="S1132" s="31">
        <f t="shared" si="135"/>
        <v>-4395235</v>
      </c>
      <c r="T1132" s="31">
        <f t="shared" si="135"/>
        <v>1021195.7</v>
      </c>
      <c r="U1132" s="31">
        <f t="shared" si="135"/>
        <v>1457835</v>
      </c>
      <c r="V1132" s="31">
        <f t="shared" si="135"/>
        <v>449000</v>
      </c>
      <c r="W1132" s="31">
        <f t="shared" si="135"/>
        <v>1.4551915228366852E-11</v>
      </c>
      <c r="X1132" s="31">
        <f t="shared" si="135"/>
        <v>2278852.62</v>
      </c>
      <c r="Y1132" s="29">
        <f t="shared" si="129"/>
        <v>5433449.08</v>
      </c>
    </row>
    <row r="1133" spans="1:25" ht="150">
      <c r="A1133" s="295"/>
      <c r="B1133" s="295"/>
      <c r="C1133" s="295"/>
      <c r="D1133" s="284"/>
      <c r="E1133" s="192" t="s">
        <v>1056</v>
      </c>
      <c r="F1133" s="208">
        <f>J1133</f>
        <v>235800</v>
      </c>
      <c r="G1133" s="209">
        <v>1</v>
      </c>
      <c r="H1133" s="208">
        <f aca="true" t="shared" si="136" ref="H1133:H1194">J1133</f>
        <v>235800</v>
      </c>
      <c r="I1133" s="246">
        <v>3210</v>
      </c>
      <c r="J1133" s="206">
        <v>235800</v>
      </c>
      <c r="K1133" s="180"/>
      <c r="L1133" s="180">
        <v>235800</v>
      </c>
      <c r="M1133" s="180"/>
      <c r="N1133" s="180"/>
      <c r="O1133" s="180"/>
      <c r="P1133" s="180"/>
      <c r="Q1133" s="180"/>
      <c r="R1133" s="180"/>
      <c r="S1133" s="180"/>
      <c r="T1133" s="180"/>
      <c r="U1133" s="180"/>
      <c r="V1133" s="180"/>
      <c r="W1133" s="29">
        <f t="shared" si="134"/>
        <v>0</v>
      </c>
      <c r="X1133" s="29"/>
      <c r="Y1133" s="29">
        <f t="shared" si="129"/>
        <v>235800</v>
      </c>
    </row>
    <row r="1134" spans="1:25" ht="93.75">
      <c r="A1134" s="295"/>
      <c r="B1134" s="295"/>
      <c r="C1134" s="295"/>
      <c r="D1134" s="284"/>
      <c r="E1134" s="28" t="s">
        <v>929</v>
      </c>
      <c r="F1134" s="135">
        <f>J1134</f>
        <v>1943000</v>
      </c>
      <c r="G1134" s="134">
        <v>1</v>
      </c>
      <c r="H1134" s="135">
        <f t="shared" si="136"/>
        <v>1943000</v>
      </c>
      <c r="I1134" s="233">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4"/>
        <v>0</v>
      </c>
      <c r="X1134" s="29">
        <f>9789.6+519000</f>
        <v>528789.6</v>
      </c>
      <c r="Y1134" s="29">
        <f t="shared" si="129"/>
        <v>1404210.4</v>
      </c>
    </row>
    <row r="1135" spans="1:25" ht="56.25">
      <c r="A1135" s="295"/>
      <c r="B1135" s="295"/>
      <c r="C1135" s="295"/>
      <c r="D1135" s="284"/>
      <c r="E1135" s="28" t="s">
        <v>891</v>
      </c>
      <c r="F1135" s="135">
        <f aca="true" t="shared" si="137" ref="F1135:F1150">J1135</f>
        <v>251195.7</v>
      </c>
      <c r="G1135" s="134">
        <v>1</v>
      </c>
      <c r="H1135" s="135">
        <f t="shared" si="136"/>
        <v>251195.7</v>
      </c>
      <c r="I1135" s="233">
        <v>3142</v>
      </c>
      <c r="J1135" s="47">
        <f>300000-48804.3</f>
        <v>251195.7</v>
      </c>
      <c r="K1135" s="29"/>
      <c r="L1135" s="29"/>
      <c r="M1135" s="29"/>
      <c r="N1135" s="29">
        <v>300000</v>
      </c>
      <c r="O1135" s="29"/>
      <c r="P1135" s="29"/>
      <c r="Q1135" s="29"/>
      <c r="R1135" s="29"/>
      <c r="S1135" s="29"/>
      <c r="T1135" s="29">
        <f>-48804.3</f>
        <v>-48804.3</v>
      </c>
      <c r="U1135" s="29"/>
      <c r="V1135" s="29"/>
      <c r="W1135" s="29">
        <f t="shared" si="134"/>
        <v>1.4551915228366852E-11</v>
      </c>
      <c r="X1135" s="29">
        <f>251195.7</f>
        <v>251195.7</v>
      </c>
      <c r="Y1135" s="29">
        <f t="shared" si="129"/>
        <v>0</v>
      </c>
    </row>
    <row r="1136" spans="1:25" ht="108" customHeight="1">
      <c r="A1136" s="295"/>
      <c r="B1136" s="295"/>
      <c r="C1136" s="295"/>
      <c r="D1136" s="284"/>
      <c r="E1136" s="321" t="s">
        <v>1214</v>
      </c>
      <c r="F1136" s="135">
        <f t="shared" si="137"/>
        <v>1006835</v>
      </c>
      <c r="G1136" s="134">
        <v>1</v>
      </c>
      <c r="H1136" s="135">
        <f t="shared" si="136"/>
        <v>1006835</v>
      </c>
      <c r="I1136" s="323">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4"/>
        <v>0</v>
      </c>
      <c r="X1136" s="29">
        <f>233763.06+3567.6+174374.72</f>
        <v>411705.38</v>
      </c>
      <c r="Y1136" s="29">
        <f t="shared" si="129"/>
        <v>595129.62</v>
      </c>
    </row>
    <row r="1137" spans="1:25" ht="18.75">
      <c r="A1137" s="295"/>
      <c r="B1137" s="295"/>
      <c r="C1137" s="295"/>
      <c r="D1137" s="284"/>
      <c r="E1137" s="322"/>
      <c r="F1137" s="135"/>
      <c r="G1137" s="134"/>
      <c r="H1137" s="135"/>
      <c r="I1137" s="324"/>
      <c r="J1137" s="47">
        <v>624756</v>
      </c>
      <c r="K1137" s="29"/>
      <c r="L1137" s="29"/>
      <c r="M1137" s="29"/>
      <c r="N1137" s="29"/>
      <c r="O1137" s="29"/>
      <c r="P1137" s="29">
        <v>624756</v>
      </c>
      <c r="Q1137" s="29"/>
      <c r="R1137" s="29"/>
      <c r="S1137" s="29"/>
      <c r="T1137" s="29"/>
      <c r="U1137" s="29"/>
      <c r="V1137" s="29"/>
      <c r="W1137" s="29"/>
      <c r="X1137" s="29">
        <v>624756</v>
      </c>
      <c r="Y1137" s="29">
        <f t="shared" si="129"/>
        <v>0</v>
      </c>
    </row>
    <row r="1138" spans="1:25" ht="56.25">
      <c r="A1138" s="295"/>
      <c r="B1138" s="295"/>
      <c r="C1138" s="295"/>
      <c r="D1138" s="284"/>
      <c r="E1138" s="28" t="s">
        <v>1</v>
      </c>
      <c r="F1138" s="135">
        <f t="shared" si="137"/>
        <v>100000</v>
      </c>
      <c r="G1138" s="134">
        <v>1</v>
      </c>
      <c r="H1138" s="135">
        <f t="shared" si="136"/>
        <v>100000</v>
      </c>
      <c r="I1138" s="233">
        <v>3142</v>
      </c>
      <c r="J1138" s="47">
        <v>100000</v>
      </c>
      <c r="K1138" s="29"/>
      <c r="L1138" s="29"/>
      <c r="M1138" s="29"/>
      <c r="N1138" s="29"/>
      <c r="O1138" s="29"/>
      <c r="P1138" s="29"/>
      <c r="Q1138" s="29"/>
      <c r="R1138" s="29"/>
      <c r="S1138" s="29"/>
      <c r="T1138" s="29"/>
      <c r="U1138" s="29"/>
      <c r="V1138" s="29">
        <v>100000</v>
      </c>
      <c r="W1138" s="29">
        <f t="shared" si="134"/>
        <v>0</v>
      </c>
      <c r="X1138" s="29"/>
      <c r="Y1138" s="29">
        <f t="shared" si="129"/>
        <v>0</v>
      </c>
    </row>
    <row r="1139" spans="1:25" ht="75">
      <c r="A1139" s="295"/>
      <c r="B1139" s="295"/>
      <c r="C1139" s="295"/>
      <c r="D1139" s="284"/>
      <c r="E1139" s="28" t="s">
        <v>249</v>
      </c>
      <c r="F1139" s="135">
        <f t="shared" si="137"/>
        <v>25000</v>
      </c>
      <c r="G1139" s="134">
        <v>1</v>
      </c>
      <c r="H1139" s="135">
        <f t="shared" si="136"/>
        <v>25000</v>
      </c>
      <c r="I1139" s="233">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4"/>
        <v>0</v>
      </c>
      <c r="X1139" s="29"/>
      <c r="Y1139" s="29">
        <f t="shared" si="129"/>
        <v>25000</v>
      </c>
    </row>
    <row r="1140" spans="1:25" ht="56.25">
      <c r="A1140" s="295"/>
      <c r="B1140" s="295"/>
      <c r="C1140" s="295"/>
      <c r="D1140" s="284"/>
      <c r="E1140" s="28" t="s">
        <v>250</v>
      </c>
      <c r="F1140" s="135">
        <f t="shared" si="137"/>
        <v>100000</v>
      </c>
      <c r="G1140" s="134">
        <v>1</v>
      </c>
      <c r="H1140" s="135">
        <f t="shared" si="136"/>
        <v>100000</v>
      </c>
      <c r="I1140" s="233">
        <v>3142</v>
      </c>
      <c r="J1140" s="47">
        <v>100000</v>
      </c>
      <c r="K1140" s="29"/>
      <c r="L1140" s="29"/>
      <c r="M1140" s="29"/>
      <c r="N1140" s="29"/>
      <c r="O1140" s="29"/>
      <c r="P1140" s="29"/>
      <c r="Q1140" s="29"/>
      <c r="R1140" s="29"/>
      <c r="S1140" s="29"/>
      <c r="T1140" s="29">
        <v>100000</v>
      </c>
      <c r="U1140" s="29"/>
      <c r="V1140" s="29"/>
      <c r="W1140" s="29">
        <f t="shared" si="134"/>
        <v>0</v>
      </c>
      <c r="X1140" s="29"/>
      <c r="Y1140" s="29">
        <f t="shared" si="129"/>
        <v>100000</v>
      </c>
    </row>
    <row r="1141" spans="1:25" ht="59.25" customHeight="1">
      <c r="A1141" s="295"/>
      <c r="B1141" s="295"/>
      <c r="C1141" s="295"/>
      <c r="D1141" s="284"/>
      <c r="E1141" s="28" t="s">
        <v>2</v>
      </c>
      <c r="F1141" s="135">
        <f t="shared" si="137"/>
        <v>1050000</v>
      </c>
      <c r="G1141" s="134">
        <v>1</v>
      </c>
      <c r="H1141" s="135">
        <f t="shared" si="136"/>
        <v>1050000</v>
      </c>
      <c r="I1141" s="233">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4"/>
        <v>0</v>
      </c>
      <c r="X1141" s="29">
        <f>1152</f>
        <v>1152</v>
      </c>
      <c r="Y1141" s="29">
        <f t="shared" si="129"/>
        <v>398848</v>
      </c>
    </row>
    <row r="1142" spans="1:25" ht="75">
      <c r="A1142" s="295"/>
      <c r="B1142" s="295"/>
      <c r="C1142" s="295"/>
      <c r="D1142" s="284"/>
      <c r="E1142" s="28" t="s">
        <v>3</v>
      </c>
      <c r="F1142" s="135">
        <f t="shared" si="137"/>
        <v>952000</v>
      </c>
      <c r="G1142" s="134">
        <v>1</v>
      </c>
      <c r="H1142" s="135">
        <f t="shared" si="136"/>
        <v>952000</v>
      </c>
      <c r="I1142" s="233">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4"/>
        <v>0</v>
      </c>
      <c r="X1142" s="29"/>
      <c r="Y1142" s="29">
        <f t="shared" si="129"/>
        <v>845165</v>
      </c>
    </row>
    <row r="1143" spans="1:25" ht="102.75" customHeight="1" hidden="1">
      <c r="A1143" s="295"/>
      <c r="B1143" s="295"/>
      <c r="C1143" s="295"/>
      <c r="D1143" s="284"/>
      <c r="E1143" s="28" t="s">
        <v>582</v>
      </c>
      <c r="F1143" s="135">
        <f t="shared" si="137"/>
        <v>0</v>
      </c>
      <c r="G1143" s="134">
        <v>1</v>
      </c>
      <c r="H1143" s="135">
        <f t="shared" si="136"/>
        <v>0</v>
      </c>
      <c r="I1143" s="233">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4"/>
        <v>0</v>
      </c>
      <c r="X1143" s="29"/>
      <c r="Y1143" s="29">
        <f t="shared" si="129"/>
        <v>0</v>
      </c>
    </row>
    <row r="1144" spans="1:25" ht="37.5">
      <c r="A1144" s="295"/>
      <c r="B1144" s="295"/>
      <c r="C1144" s="295"/>
      <c r="D1144" s="284"/>
      <c r="E1144" s="36" t="s">
        <v>500</v>
      </c>
      <c r="F1144" s="135">
        <f t="shared" si="137"/>
        <v>750000</v>
      </c>
      <c r="G1144" s="134">
        <v>1</v>
      </c>
      <c r="H1144" s="135">
        <f t="shared" si="136"/>
        <v>750000</v>
      </c>
      <c r="I1144" s="233">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4"/>
        <v>0</v>
      </c>
      <c r="X1144" s="29">
        <f>185850.94+98235+30372+8208+2052</f>
        <v>324717.94</v>
      </c>
      <c r="Y1144" s="29">
        <f t="shared" si="129"/>
        <v>425282.06</v>
      </c>
    </row>
    <row r="1145" spans="1:25" ht="81.75" customHeight="1">
      <c r="A1145" s="295"/>
      <c r="B1145" s="295"/>
      <c r="C1145" s="295"/>
      <c r="D1145" s="284"/>
      <c r="E1145" s="36" t="s">
        <v>253</v>
      </c>
      <c r="F1145" s="135">
        <f t="shared" si="137"/>
        <v>550000</v>
      </c>
      <c r="G1145" s="134">
        <v>1</v>
      </c>
      <c r="H1145" s="135">
        <f t="shared" si="136"/>
        <v>550000</v>
      </c>
      <c r="I1145" s="233">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4"/>
        <v>0</v>
      </c>
      <c r="X1145" s="29"/>
      <c r="Y1145" s="29">
        <f t="shared" si="129"/>
        <v>50000</v>
      </c>
    </row>
    <row r="1146" spans="1:25" ht="56.25">
      <c r="A1146" s="295"/>
      <c r="B1146" s="295"/>
      <c r="C1146" s="295"/>
      <c r="D1146" s="284"/>
      <c r="E1146" s="36" t="s">
        <v>114</v>
      </c>
      <c r="F1146" s="135">
        <f t="shared" si="137"/>
        <v>500000</v>
      </c>
      <c r="G1146" s="134">
        <v>1</v>
      </c>
      <c r="H1146" s="135">
        <f t="shared" si="136"/>
        <v>500000</v>
      </c>
      <c r="I1146" s="233">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4"/>
        <v>0</v>
      </c>
      <c r="X1146" s="29"/>
      <c r="Y1146" s="29">
        <f t="shared" si="129"/>
        <v>360000</v>
      </c>
    </row>
    <row r="1147" spans="1:25" ht="73.5" customHeight="1">
      <c r="A1147" s="295"/>
      <c r="B1147" s="295"/>
      <c r="C1147" s="295"/>
      <c r="D1147" s="284"/>
      <c r="E1147" s="36" t="s">
        <v>203</v>
      </c>
      <c r="F1147" s="135">
        <f t="shared" si="137"/>
        <v>300000</v>
      </c>
      <c r="G1147" s="134">
        <v>1</v>
      </c>
      <c r="H1147" s="135">
        <f t="shared" si="136"/>
        <v>300000</v>
      </c>
      <c r="I1147" s="233">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4"/>
        <v>0</v>
      </c>
      <c r="X1147" s="29"/>
      <c r="Y1147" s="29">
        <f t="shared" si="129"/>
        <v>300000</v>
      </c>
    </row>
    <row r="1148" spans="1:25" ht="56.25">
      <c r="A1148" s="295"/>
      <c r="B1148" s="295"/>
      <c r="C1148" s="295"/>
      <c r="D1148" s="284"/>
      <c r="E1148" s="36" t="s">
        <v>663</v>
      </c>
      <c r="F1148" s="135">
        <f t="shared" si="137"/>
        <v>1000000</v>
      </c>
      <c r="G1148" s="134">
        <v>1</v>
      </c>
      <c r="H1148" s="135">
        <f t="shared" si="136"/>
        <v>1000000</v>
      </c>
      <c r="I1148" s="233">
        <v>3122</v>
      </c>
      <c r="J1148" s="40">
        <v>1000000</v>
      </c>
      <c r="K1148" s="29"/>
      <c r="L1148" s="29"/>
      <c r="M1148" s="146"/>
      <c r="N1148" s="29">
        <v>700000</v>
      </c>
      <c r="O1148" s="29"/>
      <c r="P1148" s="29">
        <v>-400000</v>
      </c>
      <c r="Q1148" s="29">
        <v>400000</v>
      </c>
      <c r="R1148" s="29"/>
      <c r="S1148" s="29"/>
      <c r="T1148" s="29"/>
      <c r="U1148" s="29">
        <v>200000</v>
      </c>
      <c r="V1148" s="29">
        <v>100000</v>
      </c>
      <c r="W1148" s="29">
        <f t="shared" si="134"/>
        <v>0</v>
      </c>
      <c r="X1148" s="29">
        <f>100000+36536</f>
        <v>136536</v>
      </c>
      <c r="Y1148" s="29">
        <f t="shared" si="129"/>
        <v>563464</v>
      </c>
    </row>
    <row r="1149" spans="1:25" ht="56.25">
      <c r="A1149" s="295"/>
      <c r="B1149" s="295"/>
      <c r="C1149" s="295"/>
      <c r="D1149" s="284"/>
      <c r="E1149" s="36" t="s">
        <v>852</v>
      </c>
      <c r="F1149" s="135">
        <f t="shared" si="137"/>
        <v>100550</v>
      </c>
      <c r="G1149" s="134">
        <v>1</v>
      </c>
      <c r="H1149" s="135">
        <f t="shared" si="136"/>
        <v>100550</v>
      </c>
      <c r="I1149" s="233">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4"/>
        <v>0</v>
      </c>
      <c r="X1149" s="29"/>
      <c r="Y1149" s="29">
        <f t="shared" si="129"/>
        <v>550</v>
      </c>
    </row>
    <row r="1150" spans="1:25" ht="56.25">
      <c r="A1150" s="295"/>
      <c r="B1150" s="296"/>
      <c r="C1150" s="295"/>
      <c r="D1150" s="284"/>
      <c r="E1150" s="36" t="s">
        <v>237</v>
      </c>
      <c r="F1150" s="135">
        <f t="shared" si="137"/>
        <v>130000</v>
      </c>
      <c r="G1150" s="134">
        <v>1</v>
      </c>
      <c r="H1150" s="135">
        <f t="shared" si="136"/>
        <v>130000</v>
      </c>
      <c r="I1150" s="233">
        <v>3210</v>
      </c>
      <c r="J1150" s="40">
        <f>968800-768800-70000</f>
        <v>130000</v>
      </c>
      <c r="K1150" s="29"/>
      <c r="L1150" s="29"/>
      <c r="M1150" s="29"/>
      <c r="N1150" s="29">
        <v>140000</v>
      </c>
      <c r="O1150" s="29">
        <v>60000</v>
      </c>
      <c r="P1150" s="29"/>
      <c r="Q1150" s="29">
        <v>-70000</v>
      </c>
      <c r="R1150" s="29"/>
      <c r="S1150" s="29"/>
      <c r="T1150" s="29"/>
      <c r="U1150" s="29"/>
      <c r="V1150" s="29"/>
      <c r="W1150" s="29">
        <f t="shared" si="134"/>
        <v>0</v>
      </c>
      <c r="X1150" s="29"/>
      <c r="Y1150" s="29">
        <f t="shared" si="129"/>
        <v>130000</v>
      </c>
    </row>
    <row r="1151" spans="1:25" ht="18" customHeight="1">
      <c r="A1151" s="294" t="s">
        <v>600</v>
      </c>
      <c r="B1151" s="294" t="s">
        <v>1143</v>
      </c>
      <c r="C1151" s="294" t="s">
        <v>85</v>
      </c>
      <c r="D1151" s="283" t="s">
        <v>1142</v>
      </c>
      <c r="E1151" s="65"/>
      <c r="F1151" s="65"/>
      <c r="G1151" s="65"/>
      <c r="H1151" s="65"/>
      <c r="I1151" s="255"/>
      <c r="J1151" s="31">
        <f>SUM(J1152:J1153)</f>
        <v>1180000</v>
      </c>
      <c r="K1151" s="31">
        <f aca="true" t="shared" si="138" ref="K1151:X1151">SUM(K1152:K1153)</f>
        <v>0</v>
      </c>
      <c r="L1151" s="31">
        <f t="shared" si="138"/>
        <v>0</v>
      </c>
      <c r="M1151" s="31">
        <f t="shared" si="138"/>
        <v>0</v>
      </c>
      <c r="N1151" s="31">
        <f t="shared" si="138"/>
        <v>556000</v>
      </c>
      <c r="O1151" s="31">
        <f t="shared" si="138"/>
        <v>0</v>
      </c>
      <c r="P1151" s="31">
        <f t="shared" si="138"/>
        <v>0</v>
      </c>
      <c r="Q1151" s="31">
        <f t="shared" si="138"/>
        <v>12000</v>
      </c>
      <c r="R1151" s="31">
        <f t="shared" si="138"/>
        <v>24000</v>
      </c>
      <c r="S1151" s="31">
        <f t="shared" si="138"/>
        <v>500000</v>
      </c>
      <c r="T1151" s="31">
        <f t="shared" si="138"/>
        <v>0</v>
      </c>
      <c r="U1151" s="31">
        <f t="shared" si="138"/>
        <v>88000</v>
      </c>
      <c r="V1151" s="31">
        <f t="shared" si="138"/>
        <v>0</v>
      </c>
      <c r="W1151" s="31">
        <f t="shared" si="138"/>
        <v>0</v>
      </c>
      <c r="X1151" s="31">
        <f t="shared" si="138"/>
        <v>975946</v>
      </c>
      <c r="Y1151" s="29">
        <f t="shared" si="129"/>
        <v>116054</v>
      </c>
    </row>
    <row r="1152" spans="1:25" ht="77.25" customHeight="1">
      <c r="A1152" s="295"/>
      <c r="B1152" s="295"/>
      <c r="C1152" s="295"/>
      <c r="D1152" s="284"/>
      <c r="E1152" s="36" t="s">
        <v>524</v>
      </c>
      <c r="F1152" s="135">
        <f>J1152</f>
        <v>80000</v>
      </c>
      <c r="G1152" s="134">
        <v>1</v>
      </c>
      <c r="H1152" s="135">
        <f t="shared" si="136"/>
        <v>80000</v>
      </c>
      <c r="I1152" s="233">
        <v>3210</v>
      </c>
      <c r="J1152" s="40">
        <v>80000</v>
      </c>
      <c r="K1152" s="29"/>
      <c r="L1152" s="29"/>
      <c r="M1152" s="29"/>
      <c r="N1152" s="29">
        <v>56000</v>
      </c>
      <c r="O1152" s="29"/>
      <c r="P1152" s="29"/>
      <c r="Q1152" s="29"/>
      <c r="R1152" s="29">
        <v>24000</v>
      </c>
      <c r="S1152" s="29"/>
      <c r="T1152" s="29"/>
      <c r="U1152" s="29"/>
      <c r="V1152" s="29"/>
      <c r="W1152" s="29">
        <f t="shared" si="134"/>
        <v>0</v>
      </c>
      <c r="X1152" s="29"/>
      <c r="Y1152" s="29">
        <f t="shared" si="129"/>
        <v>80000</v>
      </c>
    </row>
    <row r="1153" spans="1:25" ht="115.5" customHeight="1">
      <c r="A1153" s="296"/>
      <c r="B1153" s="296"/>
      <c r="C1153" s="296"/>
      <c r="D1153" s="301"/>
      <c r="E1153" s="36" t="s">
        <v>525</v>
      </c>
      <c r="F1153" s="135">
        <f>J1153</f>
        <v>1100000</v>
      </c>
      <c r="G1153" s="134">
        <v>1</v>
      </c>
      <c r="H1153" s="135">
        <f t="shared" si="136"/>
        <v>1100000</v>
      </c>
      <c r="I1153" s="233">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4"/>
        <v>0</v>
      </c>
      <c r="X1153" s="29">
        <f>305999.4+4583+182724+11305.6+471334</f>
        <v>975946</v>
      </c>
      <c r="Y1153" s="29">
        <f t="shared" si="129"/>
        <v>36054</v>
      </c>
    </row>
    <row r="1154" spans="1:25" ht="18.75">
      <c r="A1154" s="294" t="s">
        <v>610</v>
      </c>
      <c r="B1154" s="294" t="s">
        <v>609</v>
      </c>
      <c r="C1154" s="291" t="s">
        <v>8</v>
      </c>
      <c r="D1154" s="283" t="s">
        <v>608</v>
      </c>
      <c r="E1154" s="91"/>
      <c r="F1154" s="91"/>
      <c r="G1154" s="91"/>
      <c r="H1154" s="91"/>
      <c r="I1154" s="266"/>
      <c r="J1154" s="60">
        <f>SUM(J1155:J1155)</f>
        <v>100000</v>
      </c>
      <c r="K1154" s="60">
        <f aca="true" t="shared" si="139" ref="K1154:X1154">SUM(K1155:K1155)</f>
        <v>0</v>
      </c>
      <c r="L1154" s="60">
        <f t="shared" si="139"/>
        <v>0</v>
      </c>
      <c r="M1154" s="60">
        <f t="shared" si="139"/>
        <v>0</v>
      </c>
      <c r="N1154" s="60">
        <f t="shared" si="139"/>
        <v>100000</v>
      </c>
      <c r="O1154" s="60">
        <f t="shared" si="139"/>
        <v>0</v>
      </c>
      <c r="P1154" s="60">
        <f t="shared" si="139"/>
        <v>0</v>
      </c>
      <c r="Q1154" s="60">
        <f t="shared" si="139"/>
        <v>0</v>
      </c>
      <c r="R1154" s="60">
        <f t="shared" si="139"/>
        <v>0</v>
      </c>
      <c r="S1154" s="60">
        <f t="shared" si="139"/>
        <v>0</v>
      </c>
      <c r="T1154" s="60">
        <f t="shared" si="139"/>
        <v>0</v>
      </c>
      <c r="U1154" s="60">
        <f t="shared" si="139"/>
        <v>0</v>
      </c>
      <c r="V1154" s="60">
        <f t="shared" si="139"/>
        <v>0</v>
      </c>
      <c r="W1154" s="60">
        <f t="shared" si="139"/>
        <v>0</v>
      </c>
      <c r="X1154" s="60">
        <f t="shared" si="139"/>
        <v>77841.02</v>
      </c>
      <c r="Y1154" s="29">
        <f t="shared" si="129"/>
        <v>22158.979999999996</v>
      </c>
    </row>
    <row r="1155" spans="1:25" ht="56.25">
      <c r="A1155" s="295"/>
      <c r="B1155" s="296"/>
      <c r="C1155" s="293"/>
      <c r="D1155" s="284"/>
      <c r="E1155" s="91" t="s">
        <v>24</v>
      </c>
      <c r="F1155" s="135">
        <f>J1155</f>
        <v>100000</v>
      </c>
      <c r="G1155" s="134">
        <v>1</v>
      </c>
      <c r="H1155" s="135">
        <f t="shared" si="136"/>
        <v>100000</v>
      </c>
      <c r="I1155" s="233">
        <v>3122</v>
      </c>
      <c r="J1155" s="54">
        <v>100000</v>
      </c>
      <c r="K1155" s="29"/>
      <c r="L1155" s="29"/>
      <c r="M1155" s="29"/>
      <c r="N1155" s="29">
        <v>100000</v>
      </c>
      <c r="O1155" s="29"/>
      <c r="P1155" s="29"/>
      <c r="Q1155" s="29"/>
      <c r="R1155" s="29"/>
      <c r="S1155" s="29"/>
      <c r="T1155" s="29"/>
      <c r="U1155" s="29"/>
      <c r="V1155" s="29"/>
      <c r="W1155" s="29">
        <f t="shared" si="134"/>
        <v>0</v>
      </c>
      <c r="X1155" s="29">
        <f>77841.02</f>
        <v>77841.02</v>
      </c>
      <c r="Y1155" s="29">
        <f t="shared" si="129"/>
        <v>22158.979999999996</v>
      </c>
    </row>
    <row r="1156" spans="1:25" ht="18" customHeight="1">
      <c r="A1156" s="294" t="s">
        <v>611</v>
      </c>
      <c r="B1156" s="294" t="s">
        <v>340</v>
      </c>
      <c r="C1156" s="294" t="s">
        <v>701</v>
      </c>
      <c r="D1156" s="283" t="s">
        <v>972</v>
      </c>
      <c r="E1156" s="65"/>
      <c r="F1156" s="65"/>
      <c r="G1156" s="65"/>
      <c r="H1156" s="65"/>
      <c r="I1156" s="255"/>
      <c r="J1156" s="31">
        <f>SUM(J1157:J1191)</f>
        <v>151122922.59</v>
      </c>
      <c r="K1156" s="31">
        <f aca="true" t="shared" si="140" ref="K1156:X1156">SUM(K1157:K1191)</f>
        <v>0</v>
      </c>
      <c r="L1156" s="31">
        <f t="shared" si="140"/>
        <v>1600000</v>
      </c>
      <c r="M1156" s="31">
        <f t="shared" si="140"/>
        <v>29419871.54</v>
      </c>
      <c r="N1156" s="31">
        <f t="shared" si="140"/>
        <v>15591625</v>
      </c>
      <c r="O1156" s="31">
        <f t="shared" si="140"/>
        <v>6529200</v>
      </c>
      <c r="P1156" s="31">
        <f t="shared" si="140"/>
        <v>3392528.46</v>
      </c>
      <c r="Q1156" s="31">
        <f t="shared" si="140"/>
        <v>12752595</v>
      </c>
      <c r="R1156" s="31">
        <f t="shared" si="140"/>
        <v>19079605</v>
      </c>
      <c r="S1156" s="31">
        <f t="shared" si="140"/>
        <v>15189435</v>
      </c>
      <c r="T1156" s="31">
        <f t="shared" si="140"/>
        <v>14154563.59</v>
      </c>
      <c r="U1156" s="31">
        <f t="shared" si="140"/>
        <v>21991440</v>
      </c>
      <c r="V1156" s="31">
        <f t="shared" si="140"/>
        <v>11422059</v>
      </c>
      <c r="W1156" s="31">
        <f t="shared" si="140"/>
        <v>-9.313225746154785E-10</v>
      </c>
      <c r="X1156" s="31">
        <f t="shared" si="140"/>
        <v>99271426.25</v>
      </c>
      <c r="Y1156" s="29">
        <f t="shared" si="129"/>
        <v>18437997.340000004</v>
      </c>
    </row>
    <row r="1157" spans="1:25" ht="93.75">
      <c r="A1157" s="295"/>
      <c r="B1157" s="295"/>
      <c r="C1157" s="295"/>
      <c r="D1157" s="284"/>
      <c r="E1157" s="65" t="s">
        <v>728</v>
      </c>
      <c r="F1157" s="65"/>
      <c r="G1157" s="271"/>
      <c r="H1157" s="65"/>
      <c r="I1157" s="255">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9">
        <f t="shared" si="129"/>
        <v>5000</v>
      </c>
    </row>
    <row r="1158" spans="1:25" ht="75">
      <c r="A1158" s="295"/>
      <c r="B1158" s="295"/>
      <c r="C1158" s="295"/>
      <c r="D1158" s="284"/>
      <c r="E1158" s="65" t="s">
        <v>624</v>
      </c>
      <c r="F1158" s="135">
        <f>J1158</f>
        <v>1600000</v>
      </c>
      <c r="G1158" s="134">
        <v>1</v>
      </c>
      <c r="H1158" s="135">
        <f t="shared" si="136"/>
        <v>1600000</v>
      </c>
      <c r="I1158" s="233">
        <v>3132</v>
      </c>
      <c r="J1158" s="29">
        <f>900000+700000</f>
        <v>1600000</v>
      </c>
      <c r="K1158" s="29"/>
      <c r="L1158" s="29"/>
      <c r="M1158" s="29"/>
      <c r="N1158" s="29"/>
      <c r="O1158" s="29"/>
      <c r="P1158" s="29"/>
      <c r="Q1158" s="29"/>
      <c r="R1158" s="29">
        <v>50000</v>
      </c>
      <c r="S1158" s="29"/>
      <c r="T1158" s="29">
        <f>400000+274100</f>
        <v>674100</v>
      </c>
      <c r="U1158" s="29">
        <f>450000-274100</f>
        <v>175900</v>
      </c>
      <c r="V1158" s="29">
        <f>700000</f>
        <v>700000</v>
      </c>
      <c r="W1158" s="29">
        <f t="shared" si="134"/>
        <v>0</v>
      </c>
      <c r="X1158" s="29">
        <f>38025.56+685648.2</f>
        <v>723673.76</v>
      </c>
      <c r="Y1158" s="29">
        <f t="shared" si="129"/>
        <v>426.2399999999907</v>
      </c>
    </row>
    <row r="1159" spans="1:25" ht="54" hidden="1">
      <c r="A1159" s="295"/>
      <c r="B1159" s="295"/>
      <c r="C1159" s="295"/>
      <c r="D1159" s="284"/>
      <c r="E1159" s="65" t="s">
        <v>919</v>
      </c>
      <c r="F1159" s="135"/>
      <c r="G1159" s="134"/>
      <c r="H1159" s="135"/>
      <c r="I1159" s="233">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9">
        <f t="shared" si="129"/>
        <v>0</v>
      </c>
    </row>
    <row r="1160" spans="1:25" ht="56.25">
      <c r="A1160" s="295"/>
      <c r="B1160" s="295"/>
      <c r="C1160" s="295"/>
      <c r="D1160" s="284"/>
      <c r="E1160" s="65" t="s">
        <v>341</v>
      </c>
      <c r="F1160" s="135">
        <f aca="true" t="shared" si="141" ref="F1160:F1191">J1160</f>
        <v>300000</v>
      </c>
      <c r="G1160" s="134">
        <v>1</v>
      </c>
      <c r="H1160" s="135">
        <f t="shared" si="136"/>
        <v>300000</v>
      </c>
      <c r="I1160" s="233">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4"/>
        <v>0</v>
      </c>
      <c r="X1160" s="29">
        <f>200000+56746</f>
        <v>256746</v>
      </c>
      <c r="Y1160" s="29">
        <f aca="true" t="shared" si="142" ref="Y1160:Y1224">K1160+L1160+M1160+N1160+O1160+P1160+Q1160+R1160+S1160+T1160-X1160</f>
        <v>43254</v>
      </c>
    </row>
    <row r="1161" spans="1:25" ht="36" hidden="1">
      <c r="A1161" s="295"/>
      <c r="B1161" s="295"/>
      <c r="C1161" s="295"/>
      <c r="D1161" s="284"/>
      <c r="E1161" s="65" t="s">
        <v>319</v>
      </c>
      <c r="F1161" s="135">
        <f t="shared" si="141"/>
        <v>0</v>
      </c>
      <c r="G1161" s="134">
        <v>1</v>
      </c>
      <c r="H1161" s="135">
        <f t="shared" si="136"/>
        <v>0</v>
      </c>
      <c r="I1161" s="233">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9">
        <f t="shared" si="142"/>
        <v>0</v>
      </c>
    </row>
    <row r="1162" spans="1:25" ht="75">
      <c r="A1162" s="295"/>
      <c r="B1162" s="295"/>
      <c r="C1162" s="295"/>
      <c r="D1162" s="284"/>
      <c r="E1162" s="65" t="s">
        <v>425</v>
      </c>
      <c r="F1162" s="135"/>
      <c r="G1162" s="134"/>
      <c r="H1162" s="135"/>
      <c r="I1162" s="233">
        <v>3132</v>
      </c>
      <c r="J1162" s="29">
        <v>500000</v>
      </c>
      <c r="K1162" s="29"/>
      <c r="L1162" s="29"/>
      <c r="M1162" s="29"/>
      <c r="N1162" s="29"/>
      <c r="O1162" s="29"/>
      <c r="P1162" s="29"/>
      <c r="Q1162" s="29"/>
      <c r="R1162" s="29"/>
      <c r="S1162" s="29"/>
      <c r="T1162" s="29">
        <f>90000</f>
        <v>90000</v>
      </c>
      <c r="U1162" s="29">
        <f>500000-90000</f>
        <v>410000</v>
      </c>
      <c r="V1162" s="29"/>
      <c r="W1162" s="29">
        <f>J1162-K1162-L1162-M1162-N1162-O1162-P1162-Q1162-R1162-S1162-T1162-U1162-V1162</f>
        <v>0</v>
      </c>
      <c r="X1162" s="29">
        <v>84885</v>
      </c>
      <c r="Y1162" s="29">
        <f t="shared" si="142"/>
        <v>5115</v>
      </c>
    </row>
    <row r="1163" spans="1:25" ht="56.25">
      <c r="A1163" s="295"/>
      <c r="B1163" s="295"/>
      <c r="C1163" s="295"/>
      <c r="D1163" s="284"/>
      <c r="E1163" s="65" t="s">
        <v>318</v>
      </c>
      <c r="F1163" s="135">
        <f t="shared" si="141"/>
        <v>1000000</v>
      </c>
      <c r="G1163" s="134">
        <v>1</v>
      </c>
      <c r="H1163" s="135">
        <f t="shared" si="136"/>
        <v>1000000</v>
      </c>
      <c r="I1163" s="233">
        <v>3132</v>
      </c>
      <c r="J1163" s="29">
        <v>1000000</v>
      </c>
      <c r="K1163" s="29"/>
      <c r="L1163" s="29"/>
      <c r="M1163" s="29"/>
      <c r="N1163" s="29"/>
      <c r="O1163" s="29"/>
      <c r="P1163" s="29"/>
      <c r="Q1163" s="29"/>
      <c r="R1163" s="29"/>
      <c r="S1163" s="29">
        <v>500000</v>
      </c>
      <c r="T1163" s="29">
        <f>-90000-274100</f>
        <v>-364100</v>
      </c>
      <c r="U1163" s="29">
        <f>90000+274100</f>
        <v>364100</v>
      </c>
      <c r="V1163" s="29">
        <v>500000</v>
      </c>
      <c r="W1163" s="29">
        <f t="shared" si="134"/>
        <v>0</v>
      </c>
      <c r="X1163" s="29"/>
      <c r="Y1163" s="29">
        <f t="shared" si="142"/>
        <v>135900</v>
      </c>
    </row>
    <row r="1164" spans="1:25" ht="75">
      <c r="A1164" s="295"/>
      <c r="B1164" s="295"/>
      <c r="C1164" s="295"/>
      <c r="D1164" s="284"/>
      <c r="E1164" s="65" t="s">
        <v>846</v>
      </c>
      <c r="F1164" s="135"/>
      <c r="G1164" s="134"/>
      <c r="H1164" s="135"/>
      <c r="I1164" s="233">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9">
        <f t="shared" si="142"/>
        <v>0</v>
      </c>
    </row>
    <row r="1165" spans="1:25" ht="37.5">
      <c r="A1165" s="295"/>
      <c r="B1165" s="295"/>
      <c r="C1165" s="295"/>
      <c r="D1165" s="284"/>
      <c r="E1165" s="65" t="s">
        <v>320</v>
      </c>
      <c r="F1165" s="135">
        <f t="shared" si="141"/>
        <v>500000</v>
      </c>
      <c r="G1165" s="134">
        <v>1</v>
      </c>
      <c r="H1165" s="135">
        <f t="shared" si="136"/>
        <v>500000</v>
      </c>
      <c r="I1165" s="233">
        <v>3132</v>
      </c>
      <c r="J1165" s="29">
        <v>500000</v>
      </c>
      <c r="K1165" s="29"/>
      <c r="L1165" s="29"/>
      <c r="M1165" s="29"/>
      <c r="N1165" s="29"/>
      <c r="O1165" s="29">
        <v>22000</v>
      </c>
      <c r="P1165" s="29"/>
      <c r="Q1165" s="29"/>
      <c r="R1165" s="29"/>
      <c r="S1165" s="29"/>
      <c r="T1165" s="29"/>
      <c r="U1165" s="29">
        <f>250000-22000</f>
        <v>228000</v>
      </c>
      <c r="V1165" s="29">
        <v>250000</v>
      </c>
      <c r="W1165" s="29">
        <f t="shared" si="134"/>
        <v>0</v>
      </c>
      <c r="X1165" s="29">
        <v>20944</v>
      </c>
      <c r="Y1165" s="29">
        <f t="shared" si="142"/>
        <v>1056</v>
      </c>
    </row>
    <row r="1166" spans="1:25" ht="75">
      <c r="A1166" s="295"/>
      <c r="B1166" s="295"/>
      <c r="C1166" s="295"/>
      <c r="D1166" s="284"/>
      <c r="E1166" s="65" t="s">
        <v>1200</v>
      </c>
      <c r="F1166" s="135">
        <f t="shared" si="141"/>
        <v>8750000</v>
      </c>
      <c r="G1166" s="134">
        <v>1</v>
      </c>
      <c r="H1166" s="135">
        <f t="shared" si="136"/>
        <v>8750000</v>
      </c>
      <c r="I1166" s="233">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4"/>
        <v>0</v>
      </c>
      <c r="X1166" s="29">
        <f>1500000+2300000+351862.03+904224.19+42056.74</f>
        <v>5098142.960000001</v>
      </c>
      <c r="Y1166" s="29">
        <f t="shared" si="142"/>
        <v>3651857.039999999</v>
      </c>
    </row>
    <row r="1167" spans="1:25" ht="77.25" customHeight="1">
      <c r="A1167" s="295"/>
      <c r="B1167" s="295"/>
      <c r="C1167" s="295"/>
      <c r="D1167" s="284"/>
      <c r="E1167" s="65" t="s">
        <v>389</v>
      </c>
      <c r="F1167" s="135">
        <f t="shared" si="141"/>
        <v>10459000</v>
      </c>
      <c r="G1167" s="134">
        <v>1</v>
      </c>
      <c r="H1167" s="135">
        <f t="shared" si="136"/>
        <v>10459000</v>
      </c>
      <c r="I1167" s="233">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4"/>
        <v>0</v>
      </c>
      <c r="X1167" s="29">
        <f>3300000+3111386.39+40091.81-1500000+630117.4+60+1232608.92+47937.46</f>
        <v>6862201.98</v>
      </c>
      <c r="Y1167" s="29">
        <f t="shared" si="142"/>
        <v>1737798.0199999996</v>
      </c>
    </row>
    <row r="1168" spans="1:25" ht="75">
      <c r="A1168" s="295"/>
      <c r="B1168" s="295"/>
      <c r="C1168" s="295"/>
      <c r="D1168" s="284"/>
      <c r="E1168" s="65" t="s">
        <v>387</v>
      </c>
      <c r="F1168" s="135">
        <f t="shared" si="141"/>
        <v>1500000</v>
      </c>
      <c r="G1168" s="134">
        <v>1</v>
      </c>
      <c r="H1168" s="135">
        <f t="shared" si="136"/>
        <v>1500000</v>
      </c>
      <c r="I1168" s="233">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4"/>
        <v>0</v>
      </c>
      <c r="X1168" s="29">
        <f>400000+225000</f>
        <v>625000</v>
      </c>
      <c r="Y1168" s="29">
        <f t="shared" si="142"/>
        <v>875000</v>
      </c>
    </row>
    <row r="1169" spans="1:25" ht="42" customHeight="1">
      <c r="A1169" s="295"/>
      <c r="B1169" s="295"/>
      <c r="C1169" s="295"/>
      <c r="D1169" s="284"/>
      <c r="E1169" s="65" t="s">
        <v>1226</v>
      </c>
      <c r="F1169" s="135">
        <f t="shared" si="141"/>
        <v>700000</v>
      </c>
      <c r="G1169" s="134">
        <v>1</v>
      </c>
      <c r="H1169" s="135">
        <f t="shared" si="136"/>
        <v>700000</v>
      </c>
      <c r="I1169" s="233">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4"/>
        <v>0</v>
      </c>
      <c r="X1169" s="29">
        <v>43461.4</v>
      </c>
      <c r="Y1169" s="29">
        <f t="shared" si="142"/>
        <v>549839.6</v>
      </c>
    </row>
    <row r="1170" spans="1:25" ht="56.25">
      <c r="A1170" s="295"/>
      <c r="B1170" s="295"/>
      <c r="C1170" s="295"/>
      <c r="D1170" s="284"/>
      <c r="E1170" s="65" t="s">
        <v>973</v>
      </c>
      <c r="F1170" s="135">
        <f t="shared" si="141"/>
        <v>713000</v>
      </c>
      <c r="G1170" s="134">
        <v>1</v>
      </c>
      <c r="H1170" s="135">
        <f t="shared" si="136"/>
        <v>713000</v>
      </c>
      <c r="I1170" s="233">
        <v>3142</v>
      </c>
      <c r="J1170" s="29">
        <f>1000000-287000</f>
        <v>713000</v>
      </c>
      <c r="K1170" s="29"/>
      <c r="L1170" s="29"/>
      <c r="M1170" s="29"/>
      <c r="N1170" s="146"/>
      <c r="O1170" s="29"/>
      <c r="P1170" s="29"/>
      <c r="Q1170" s="29"/>
      <c r="R1170" s="29"/>
      <c r="S1170" s="29">
        <v>300000</v>
      </c>
      <c r="T1170" s="29"/>
      <c r="U1170" s="29">
        <f>700000-287000</f>
        <v>413000</v>
      </c>
      <c r="V1170" s="29"/>
      <c r="W1170" s="29">
        <f t="shared" si="134"/>
        <v>0</v>
      </c>
      <c r="X1170" s="29">
        <f>300000</f>
        <v>300000</v>
      </c>
      <c r="Y1170" s="29">
        <f t="shared" si="142"/>
        <v>0</v>
      </c>
    </row>
    <row r="1171" spans="1:25" ht="43.5" customHeight="1">
      <c r="A1171" s="295"/>
      <c r="B1171" s="295"/>
      <c r="C1171" s="295"/>
      <c r="D1171" s="284"/>
      <c r="E1171" s="65" t="s">
        <v>573</v>
      </c>
      <c r="F1171" s="135">
        <f t="shared" si="141"/>
        <v>500000</v>
      </c>
      <c r="G1171" s="134">
        <v>1</v>
      </c>
      <c r="H1171" s="135">
        <f t="shared" si="136"/>
        <v>500000</v>
      </c>
      <c r="I1171" s="233">
        <v>3142</v>
      </c>
      <c r="J1171" s="29">
        <v>500000</v>
      </c>
      <c r="K1171" s="29"/>
      <c r="L1171" s="29"/>
      <c r="M1171" s="29"/>
      <c r="N1171" s="29"/>
      <c r="O1171" s="29"/>
      <c r="P1171" s="29"/>
      <c r="Q1171" s="29"/>
      <c r="R1171" s="29"/>
      <c r="S1171" s="29">
        <v>250000</v>
      </c>
      <c r="T1171" s="29"/>
      <c r="U1171" s="29">
        <v>250000</v>
      </c>
      <c r="V1171" s="29"/>
      <c r="W1171" s="29">
        <f t="shared" si="134"/>
        <v>0</v>
      </c>
      <c r="X1171" s="29"/>
      <c r="Y1171" s="29">
        <f t="shared" si="142"/>
        <v>250000</v>
      </c>
    </row>
    <row r="1172" spans="1:25" ht="42" customHeight="1">
      <c r="A1172" s="295"/>
      <c r="B1172" s="295"/>
      <c r="C1172" s="295"/>
      <c r="D1172" s="284"/>
      <c r="E1172" s="65" t="s">
        <v>574</v>
      </c>
      <c r="F1172" s="135">
        <f t="shared" si="141"/>
        <v>5000000</v>
      </c>
      <c r="G1172" s="134">
        <v>1</v>
      </c>
      <c r="H1172" s="135">
        <f t="shared" si="136"/>
        <v>5000000</v>
      </c>
      <c r="I1172" s="233">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4"/>
        <v>0</v>
      </c>
      <c r="X1172" s="29">
        <f>1460000+1581342.49+19096.08+236835.62+3108.16</f>
        <v>3300382.3500000006</v>
      </c>
      <c r="Y1172" s="29">
        <f t="shared" si="142"/>
        <v>887177.6499999994</v>
      </c>
    </row>
    <row r="1173" spans="1:25" ht="37.5">
      <c r="A1173" s="295"/>
      <c r="B1173" s="295"/>
      <c r="C1173" s="295"/>
      <c r="D1173" s="284"/>
      <c r="E1173" s="65" t="s">
        <v>388</v>
      </c>
      <c r="F1173" s="135">
        <f t="shared" si="141"/>
        <v>500000</v>
      </c>
      <c r="G1173" s="134">
        <v>1</v>
      </c>
      <c r="H1173" s="135">
        <f t="shared" si="136"/>
        <v>500000</v>
      </c>
      <c r="I1173" s="233">
        <v>3142</v>
      </c>
      <c r="J1173" s="29">
        <v>500000</v>
      </c>
      <c r="K1173" s="29"/>
      <c r="L1173" s="29"/>
      <c r="M1173" s="29">
        <v>14500</v>
      </c>
      <c r="N1173" s="29"/>
      <c r="O1173" s="29"/>
      <c r="P1173" s="29"/>
      <c r="Q1173" s="29"/>
      <c r="R1173" s="29">
        <f>500000-14500</f>
        <v>485500</v>
      </c>
      <c r="S1173" s="29"/>
      <c r="T1173" s="29"/>
      <c r="U1173" s="29"/>
      <c r="V1173" s="29"/>
      <c r="W1173" s="29">
        <f t="shared" si="134"/>
        <v>0</v>
      </c>
      <c r="X1173" s="29">
        <v>14391.08</v>
      </c>
      <c r="Y1173" s="29">
        <f t="shared" si="142"/>
        <v>485608.92</v>
      </c>
    </row>
    <row r="1174" spans="1:25" ht="44.25" customHeight="1">
      <c r="A1174" s="295"/>
      <c r="B1174" s="295"/>
      <c r="C1174" s="295"/>
      <c r="D1174" s="284"/>
      <c r="E1174" s="65" t="s">
        <v>507</v>
      </c>
      <c r="F1174" s="135">
        <f t="shared" si="141"/>
        <v>1000000</v>
      </c>
      <c r="G1174" s="134">
        <v>1</v>
      </c>
      <c r="H1174" s="135">
        <f t="shared" si="136"/>
        <v>1000000</v>
      </c>
      <c r="I1174" s="233">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4"/>
        <v>0</v>
      </c>
      <c r="X1174" s="29">
        <f>488928+1230.24</f>
        <v>490158.24</v>
      </c>
      <c r="Y1174" s="29">
        <f t="shared" si="142"/>
        <v>509841.76</v>
      </c>
    </row>
    <row r="1175" spans="1:25" ht="63" customHeight="1">
      <c r="A1175" s="295"/>
      <c r="B1175" s="295"/>
      <c r="C1175" s="295"/>
      <c r="D1175" s="284"/>
      <c r="E1175" s="65" t="s">
        <v>504</v>
      </c>
      <c r="F1175" s="135">
        <f t="shared" si="141"/>
        <v>504300</v>
      </c>
      <c r="G1175" s="134">
        <v>1</v>
      </c>
      <c r="H1175" s="135">
        <f t="shared" si="136"/>
        <v>504300</v>
      </c>
      <c r="I1175" s="233">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4"/>
        <v>0</v>
      </c>
      <c r="X1175" s="29">
        <f>49000+17791.2</f>
        <v>66791.2</v>
      </c>
      <c r="Y1175" s="29">
        <f t="shared" si="142"/>
        <v>33208.8</v>
      </c>
    </row>
    <row r="1176" spans="1:25" ht="41.25" customHeight="1">
      <c r="A1176" s="295"/>
      <c r="B1176" s="295"/>
      <c r="C1176" s="295"/>
      <c r="D1176" s="284"/>
      <c r="E1176" s="65" t="s">
        <v>572</v>
      </c>
      <c r="F1176" s="135">
        <f t="shared" si="141"/>
        <v>44500000</v>
      </c>
      <c r="G1176" s="134">
        <v>1</v>
      </c>
      <c r="H1176" s="135">
        <f t="shared" si="136"/>
        <v>44500000</v>
      </c>
      <c r="I1176" s="233">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f>
        <v>1553500</v>
      </c>
      <c r="U1176" s="29">
        <f>163000+2700000+1800000-600000</f>
        <v>4063000</v>
      </c>
      <c r="V1176" s="29">
        <f>160000+2700000+2000000-4860000</f>
        <v>0</v>
      </c>
      <c r="W1176" s="29">
        <f t="shared" si="134"/>
        <v>0</v>
      </c>
      <c r="X1176" s="29">
        <f>13333383.23+599936.4+2872905.6+2399840.4+1688728.36+6065043.03+84921.28+363713.37+127842.4+1161813.97+2000000+1774880.8+6340000+1023000+478006.39</f>
        <v>40314015.230000004</v>
      </c>
      <c r="Y1176" s="29">
        <f t="shared" si="142"/>
        <v>122984.76999999583</v>
      </c>
    </row>
    <row r="1177" spans="1:25" ht="56.25">
      <c r="A1177" s="295"/>
      <c r="B1177" s="295"/>
      <c r="C1177" s="295"/>
      <c r="D1177" s="284"/>
      <c r="E1177" s="65" t="s">
        <v>238</v>
      </c>
      <c r="F1177" s="135">
        <f t="shared" si="141"/>
        <v>850000</v>
      </c>
      <c r="G1177" s="134">
        <v>1</v>
      </c>
      <c r="H1177" s="135">
        <f t="shared" si="136"/>
        <v>850000</v>
      </c>
      <c r="I1177" s="233">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4"/>
        <v>0</v>
      </c>
      <c r="X1177" s="29">
        <f>44142</f>
        <v>44142</v>
      </c>
      <c r="Y1177" s="29">
        <f t="shared" si="142"/>
        <v>805858</v>
      </c>
    </row>
    <row r="1178" spans="1:25" ht="83.25" customHeight="1">
      <c r="A1178" s="295"/>
      <c r="B1178" s="295"/>
      <c r="C1178" s="295"/>
      <c r="D1178" s="284"/>
      <c r="E1178" s="175" t="s">
        <v>232</v>
      </c>
      <c r="F1178" s="135">
        <f t="shared" si="141"/>
        <v>3200000</v>
      </c>
      <c r="G1178" s="134">
        <v>1</v>
      </c>
      <c r="H1178" s="135">
        <f t="shared" si="136"/>
        <v>3200000</v>
      </c>
      <c r="I1178" s="233">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4"/>
        <v>0</v>
      </c>
      <c r="X1178" s="29">
        <f>1303449+951.6+16375.42+15203.4+3675.39</f>
        <v>1339654.8099999998</v>
      </c>
      <c r="Y1178" s="29">
        <f t="shared" si="142"/>
        <v>380245.1900000002</v>
      </c>
    </row>
    <row r="1179" spans="1:25" ht="79.5" customHeight="1" hidden="1">
      <c r="A1179" s="295"/>
      <c r="B1179" s="295"/>
      <c r="C1179" s="295"/>
      <c r="D1179" s="284"/>
      <c r="E1179" s="65" t="s">
        <v>247</v>
      </c>
      <c r="F1179" s="135">
        <f t="shared" si="141"/>
        <v>0</v>
      </c>
      <c r="G1179" s="134">
        <v>1</v>
      </c>
      <c r="H1179" s="135">
        <f t="shared" si="136"/>
        <v>0</v>
      </c>
      <c r="I1179" s="233">
        <v>3142</v>
      </c>
      <c r="J1179" s="29">
        <f>147000-147000</f>
        <v>0</v>
      </c>
      <c r="K1179" s="29"/>
      <c r="L1179" s="29"/>
      <c r="M1179" s="29"/>
      <c r="N1179" s="29"/>
      <c r="O1179" s="29"/>
      <c r="P1179" s="29"/>
      <c r="Q1179" s="29"/>
      <c r="R1179" s="29"/>
      <c r="S1179" s="29"/>
      <c r="T1179" s="29"/>
      <c r="U1179" s="29">
        <f>147000-147000</f>
        <v>0</v>
      </c>
      <c r="V1179" s="29"/>
      <c r="W1179" s="29">
        <f t="shared" si="134"/>
        <v>0</v>
      </c>
      <c r="X1179" s="29"/>
      <c r="Y1179" s="29">
        <f t="shared" si="142"/>
        <v>0</v>
      </c>
    </row>
    <row r="1180" spans="1:25" ht="79.5" customHeight="1" hidden="1">
      <c r="A1180" s="295"/>
      <c r="B1180" s="295"/>
      <c r="C1180" s="295"/>
      <c r="D1180" s="284"/>
      <c r="E1180" s="65" t="s">
        <v>1081</v>
      </c>
      <c r="F1180" s="135">
        <f t="shared" si="141"/>
        <v>0</v>
      </c>
      <c r="G1180" s="134">
        <v>1</v>
      </c>
      <c r="H1180" s="135">
        <f t="shared" si="136"/>
        <v>0</v>
      </c>
      <c r="I1180" s="233">
        <v>3142</v>
      </c>
      <c r="J1180" s="29">
        <f>1036000-1036000</f>
        <v>0</v>
      </c>
      <c r="K1180" s="29"/>
      <c r="L1180" s="29"/>
      <c r="M1180" s="29"/>
      <c r="N1180" s="29"/>
      <c r="O1180" s="29"/>
      <c r="P1180" s="29"/>
      <c r="Q1180" s="29"/>
      <c r="R1180" s="29"/>
      <c r="S1180" s="29"/>
      <c r="T1180" s="29"/>
      <c r="U1180" s="29">
        <f>1036000-1036000</f>
        <v>0</v>
      </c>
      <c r="V1180" s="29"/>
      <c r="W1180" s="29">
        <f t="shared" si="134"/>
        <v>0</v>
      </c>
      <c r="X1180" s="29"/>
      <c r="Y1180" s="29">
        <f t="shared" si="142"/>
        <v>0</v>
      </c>
    </row>
    <row r="1181" spans="1:25" ht="82.5" customHeight="1" hidden="1">
      <c r="A1181" s="295"/>
      <c r="B1181" s="295"/>
      <c r="C1181" s="295"/>
      <c r="D1181" s="284"/>
      <c r="E1181" s="65" t="s">
        <v>892</v>
      </c>
      <c r="F1181" s="135">
        <f t="shared" si="141"/>
        <v>0</v>
      </c>
      <c r="G1181" s="134">
        <v>1</v>
      </c>
      <c r="H1181" s="135">
        <f t="shared" si="136"/>
        <v>0</v>
      </c>
      <c r="I1181" s="233">
        <v>3142</v>
      </c>
      <c r="J1181" s="29">
        <f>137000-137000</f>
        <v>0</v>
      </c>
      <c r="K1181" s="29"/>
      <c r="L1181" s="29"/>
      <c r="M1181" s="29"/>
      <c r="N1181" s="29"/>
      <c r="O1181" s="29"/>
      <c r="P1181" s="29"/>
      <c r="Q1181" s="29"/>
      <c r="R1181" s="29"/>
      <c r="S1181" s="29"/>
      <c r="T1181" s="29"/>
      <c r="U1181" s="29">
        <f>137000-137000</f>
        <v>0</v>
      </c>
      <c r="V1181" s="29"/>
      <c r="W1181" s="29">
        <f t="shared" si="134"/>
        <v>0</v>
      </c>
      <c r="X1181" s="29"/>
      <c r="Y1181" s="29">
        <f t="shared" si="142"/>
        <v>0</v>
      </c>
    </row>
    <row r="1182" spans="1:25" ht="81" customHeight="1" hidden="1">
      <c r="A1182" s="295"/>
      <c r="B1182" s="295"/>
      <c r="C1182" s="295"/>
      <c r="D1182" s="284"/>
      <c r="E1182" s="65" t="s">
        <v>273</v>
      </c>
      <c r="F1182" s="135">
        <f t="shared" si="141"/>
        <v>0</v>
      </c>
      <c r="G1182" s="134">
        <v>1</v>
      </c>
      <c r="H1182" s="135">
        <f t="shared" si="136"/>
        <v>0</v>
      </c>
      <c r="I1182" s="233">
        <v>3142</v>
      </c>
      <c r="J1182" s="29">
        <f>254000-254000</f>
        <v>0</v>
      </c>
      <c r="K1182" s="29"/>
      <c r="L1182" s="29"/>
      <c r="M1182" s="29"/>
      <c r="N1182" s="29"/>
      <c r="O1182" s="29"/>
      <c r="P1182" s="29"/>
      <c r="Q1182" s="29"/>
      <c r="R1182" s="29"/>
      <c r="S1182" s="29"/>
      <c r="T1182" s="29"/>
      <c r="U1182" s="29">
        <f>254000-254000</f>
        <v>0</v>
      </c>
      <c r="V1182" s="29"/>
      <c r="W1182" s="29">
        <f t="shared" si="134"/>
        <v>0</v>
      </c>
      <c r="X1182" s="29"/>
      <c r="Y1182" s="29">
        <f t="shared" si="142"/>
        <v>0</v>
      </c>
    </row>
    <row r="1183" spans="1:25" ht="81.75" customHeight="1" hidden="1">
      <c r="A1183" s="295"/>
      <c r="B1183" s="295"/>
      <c r="C1183" s="295"/>
      <c r="D1183" s="284"/>
      <c r="E1183" s="65" t="s">
        <v>256</v>
      </c>
      <c r="F1183" s="135">
        <f t="shared" si="141"/>
        <v>0</v>
      </c>
      <c r="G1183" s="134">
        <v>1</v>
      </c>
      <c r="H1183" s="135">
        <f t="shared" si="136"/>
        <v>0</v>
      </c>
      <c r="I1183" s="233">
        <v>3142</v>
      </c>
      <c r="J1183" s="29">
        <f>400000-400000</f>
        <v>0</v>
      </c>
      <c r="K1183" s="29"/>
      <c r="L1183" s="29"/>
      <c r="M1183" s="29"/>
      <c r="N1183" s="29"/>
      <c r="O1183" s="29"/>
      <c r="P1183" s="29"/>
      <c r="Q1183" s="29"/>
      <c r="R1183" s="29"/>
      <c r="S1183" s="29"/>
      <c r="T1183" s="29"/>
      <c r="U1183" s="29">
        <f>400000-400000</f>
        <v>0</v>
      </c>
      <c r="V1183" s="29"/>
      <c r="W1183" s="29">
        <f t="shared" si="134"/>
        <v>0</v>
      </c>
      <c r="X1183" s="29"/>
      <c r="Y1183" s="29">
        <f t="shared" si="142"/>
        <v>0</v>
      </c>
    </row>
    <row r="1184" spans="1:25" ht="83.25" customHeight="1" hidden="1">
      <c r="A1184" s="295"/>
      <c r="B1184" s="295"/>
      <c r="C1184" s="295"/>
      <c r="D1184" s="284"/>
      <c r="E1184" s="28" t="s">
        <v>856</v>
      </c>
      <c r="F1184" s="135">
        <f t="shared" si="141"/>
        <v>0</v>
      </c>
      <c r="G1184" s="134">
        <v>1</v>
      </c>
      <c r="H1184" s="135">
        <f t="shared" si="136"/>
        <v>0</v>
      </c>
      <c r="I1184" s="233">
        <v>3142</v>
      </c>
      <c r="J1184" s="54">
        <f>248000-248000</f>
        <v>0</v>
      </c>
      <c r="K1184" s="29"/>
      <c r="L1184" s="29"/>
      <c r="M1184" s="29"/>
      <c r="N1184" s="29"/>
      <c r="O1184" s="29"/>
      <c r="P1184" s="29"/>
      <c r="Q1184" s="29"/>
      <c r="R1184" s="29"/>
      <c r="S1184" s="29"/>
      <c r="T1184" s="29"/>
      <c r="U1184" s="29">
        <f>248000-248000</f>
        <v>0</v>
      </c>
      <c r="V1184" s="29"/>
      <c r="W1184" s="29">
        <f t="shared" si="134"/>
        <v>0</v>
      </c>
      <c r="X1184" s="29"/>
      <c r="Y1184" s="29">
        <f t="shared" si="142"/>
        <v>0</v>
      </c>
    </row>
    <row r="1185" spans="1:25" ht="78.75" customHeight="1">
      <c r="A1185" s="295"/>
      <c r="B1185" s="295"/>
      <c r="C1185" s="295"/>
      <c r="D1185" s="284"/>
      <c r="E1185" s="65" t="s">
        <v>575</v>
      </c>
      <c r="F1185" s="135">
        <f t="shared" si="141"/>
        <v>3300000</v>
      </c>
      <c r="G1185" s="134">
        <v>1</v>
      </c>
      <c r="H1185" s="135">
        <f t="shared" si="136"/>
        <v>3300000</v>
      </c>
      <c r="I1185" s="233">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4"/>
        <v>0</v>
      </c>
      <c r="X1185" s="29">
        <f>2455.85+748029.6+486704.4+10141.11-447392.4</f>
        <v>799938.5600000002</v>
      </c>
      <c r="Y1185" s="29">
        <f t="shared" si="142"/>
        <v>500061.4399999998</v>
      </c>
    </row>
    <row r="1186" spans="1:25" ht="93.75">
      <c r="A1186" s="295"/>
      <c r="B1186" s="295"/>
      <c r="C1186" s="295"/>
      <c r="D1186" s="284"/>
      <c r="E1186" s="65" t="s">
        <v>697</v>
      </c>
      <c r="F1186" s="135">
        <f t="shared" si="141"/>
        <v>15816622.59</v>
      </c>
      <c r="G1186" s="134">
        <v>1</v>
      </c>
      <c r="H1186" s="135">
        <f t="shared" si="136"/>
        <v>15816622.59</v>
      </c>
      <c r="I1186" s="233">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4"/>
        <v>-9.313225746154785E-10</v>
      </c>
      <c r="X1186" s="29">
        <f>37910.17+6413+179414.38+90180+31078.8+86406+38662+4080211.2+1581679.2+54758.36+20798.51+366192.62+2844627.6</f>
        <v>9418331.84</v>
      </c>
      <c r="Y1186" s="29">
        <f t="shared" si="142"/>
        <v>2125668.16</v>
      </c>
    </row>
    <row r="1187" spans="1:25" ht="100.5" customHeight="1">
      <c r="A1187" s="295"/>
      <c r="B1187" s="295"/>
      <c r="C1187" s="295"/>
      <c r="D1187" s="284"/>
      <c r="E1187" s="65" t="s">
        <v>588</v>
      </c>
      <c r="F1187" s="135">
        <f t="shared" si="141"/>
        <v>22500000</v>
      </c>
      <c r="G1187" s="134">
        <v>1</v>
      </c>
      <c r="H1187" s="135">
        <f t="shared" si="136"/>
        <v>22500000</v>
      </c>
      <c r="I1187" s="233">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3000000-330000-100000-2570000+71100+1000+368000+105000</f>
        <v>545100</v>
      </c>
      <c r="U1187" s="29">
        <f>3000000-2730000-9000-71100-1000+1000000-368000-105000</f>
        <v>715900</v>
      </c>
      <c r="V1187" s="29">
        <v>3000000</v>
      </c>
      <c r="W1187" s="29">
        <f t="shared" si="134"/>
        <v>0</v>
      </c>
      <c r="X1187" s="29">
        <f>4351772.44+7541+3400000+581526.71+692783.83-69412.37+51856.29+3809977.2+4948579.2+67593.8+344365.2+51981.49+71006.4+918.19+472618.14</f>
        <v>18783107.52</v>
      </c>
      <c r="Y1187" s="29">
        <f t="shared" si="142"/>
        <v>992.480000000447</v>
      </c>
    </row>
    <row r="1188" spans="1:25" ht="100.5" customHeight="1">
      <c r="A1188" s="295"/>
      <c r="B1188" s="295"/>
      <c r="C1188" s="295"/>
      <c r="D1188" s="284"/>
      <c r="E1188" s="65" t="s">
        <v>889</v>
      </c>
      <c r="F1188" s="135">
        <f t="shared" si="141"/>
        <v>24970000</v>
      </c>
      <c r="G1188" s="134">
        <v>1</v>
      </c>
      <c r="H1188" s="135">
        <f t="shared" si="136"/>
        <v>24970000</v>
      </c>
      <c r="I1188" s="233">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2000000+5668562.59-368000-105000</f>
        <v>7195562.59</v>
      </c>
      <c r="U1188" s="29">
        <f>2000000-141000+5000000-2500000-1800000-2000000+6301437.41+368000+105000</f>
        <v>7333437.41</v>
      </c>
      <c r="V1188" s="29">
        <v>2000000</v>
      </c>
      <c r="W1188" s="29">
        <f t="shared" si="134"/>
        <v>0</v>
      </c>
      <c r="X1188" s="29">
        <f>3875000+140381+44901.72+60713.69+2475000+1796649.46-68910+8218.88+1941103.8+44016.77</f>
        <v>10317075.32</v>
      </c>
      <c r="Y1188" s="29">
        <f t="shared" si="142"/>
        <v>5319487.27</v>
      </c>
    </row>
    <row r="1189" spans="1:25" ht="100.5" customHeight="1">
      <c r="A1189" s="295"/>
      <c r="B1189" s="295"/>
      <c r="C1189" s="295"/>
      <c r="D1189" s="284"/>
      <c r="E1189" s="65" t="s">
        <v>108</v>
      </c>
      <c r="F1189" s="135">
        <f t="shared" si="141"/>
        <v>110000</v>
      </c>
      <c r="G1189" s="134">
        <v>1</v>
      </c>
      <c r="H1189" s="135">
        <f t="shared" si="136"/>
        <v>110000</v>
      </c>
      <c r="I1189" s="233">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4"/>
        <v>0</v>
      </c>
      <c r="X1189" s="29">
        <f>98383</f>
        <v>98383</v>
      </c>
      <c r="Y1189" s="29">
        <f t="shared" si="142"/>
        <v>11617</v>
      </c>
    </row>
    <row r="1190" spans="1:25" ht="36" hidden="1">
      <c r="A1190" s="295"/>
      <c r="B1190" s="295"/>
      <c r="C1190" s="295"/>
      <c r="D1190" s="284"/>
      <c r="E1190" s="28" t="s">
        <v>857</v>
      </c>
      <c r="F1190" s="135">
        <f t="shared" si="141"/>
        <v>0</v>
      </c>
      <c r="G1190" s="134">
        <v>1</v>
      </c>
      <c r="H1190" s="135">
        <f t="shared" si="136"/>
        <v>0</v>
      </c>
      <c r="I1190" s="233">
        <v>3122</v>
      </c>
      <c r="J1190" s="54">
        <f>500000-500000</f>
        <v>0</v>
      </c>
      <c r="K1190" s="29"/>
      <c r="L1190" s="29"/>
      <c r="M1190" s="29"/>
      <c r="N1190" s="29"/>
      <c r="O1190" s="29"/>
      <c r="P1190" s="29"/>
      <c r="Q1190" s="29"/>
      <c r="R1190" s="29"/>
      <c r="S1190" s="29"/>
      <c r="T1190" s="29"/>
      <c r="U1190" s="29">
        <f>250000-250000</f>
        <v>0</v>
      </c>
      <c r="V1190" s="29">
        <f>250000-250000</f>
        <v>0</v>
      </c>
      <c r="W1190" s="29">
        <f t="shared" si="134"/>
        <v>0</v>
      </c>
      <c r="X1190" s="29"/>
      <c r="Y1190" s="29">
        <f t="shared" si="142"/>
        <v>0</v>
      </c>
    </row>
    <row r="1191" spans="1:25" ht="44.25" customHeight="1">
      <c r="A1191" s="295"/>
      <c r="B1191" s="296"/>
      <c r="C1191" s="295"/>
      <c r="D1191" s="284"/>
      <c r="E1191" s="28" t="s">
        <v>948</v>
      </c>
      <c r="F1191" s="135">
        <f t="shared" si="141"/>
        <v>1295000</v>
      </c>
      <c r="G1191" s="134">
        <v>1</v>
      </c>
      <c r="H1191" s="135">
        <f t="shared" si="136"/>
        <v>1295000</v>
      </c>
      <c r="I1191" s="233">
        <v>3122</v>
      </c>
      <c r="J1191" s="54">
        <f>5000000-500000-200000-3005000</f>
        <v>1295000</v>
      </c>
      <c r="K1191" s="29"/>
      <c r="L1191" s="29"/>
      <c r="M1191" s="29"/>
      <c r="N1191" s="29"/>
      <c r="O1191" s="29"/>
      <c r="P1191" s="29"/>
      <c r="Q1191" s="29">
        <f>300000-200000</f>
        <v>100000</v>
      </c>
      <c r="R1191" s="29"/>
      <c r="S1191" s="29"/>
      <c r="T1191" s="29">
        <f>2100000-2100000+170000</f>
        <v>170000</v>
      </c>
      <c r="U1191" s="29"/>
      <c r="V1191" s="29">
        <f>2100000-905000-170000</f>
        <v>1025000</v>
      </c>
      <c r="W1191" s="29">
        <f t="shared" si="134"/>
        <v>0</v>
      </c>
      <c r="X1191" s="29">
        <f>270000</f>
        <v>270000</v>
      </c>
      <c r="Y1191" s="29">
        <f t="shared" si="142"/>
        <v>0</v>
      </c>
    </row>
    <row r="1192" spans="1:25" ht="18.75">
      <c r="A1192" s="291" t="s">
        <v>612</v>
      </c>
      <c r="B1192" s="291" t="s">
        <v>596</v>
      </c>
      <c r="C1192" s="291" t="s">
        <v>420</v>
      </c>
      <c r="D1192" s="283" t="s">
        <v>511</v>
      </c>
      <c r="E1192" s="28"/>
      <c r="F1192" s="28"/>
      <c r="G1192" s="28"/>
      <c r="H1192" s="28"/>
      <c r="I1192" s="225"/>
      <c r="J1192" s="60">
        <f>J1194+J1193</f>
        <v>6472800</v>
      </c>
      <c r="K1192" s="60">
        <f aca="true" t="shared" si="143" ref="K1192:X1192">K1194+K1193</f>
        <v>0</v>
      </c>
      <c r="L1192" s="60">
        <f t="shared" si="143"/>
        <v>0</v>
      </c>
      <c r="M1192" s="60">
        <f t="shared" si="143"/>
        <v>500000</v>
      </c>
      <c r="N1192" s="60">
        <f t="shared" si="143"/>
        <v>-85125</v>
      </c>
      <c r="O1192" s="60">
        <f t="shared" si="143"/>
        <v>0</v>
      </c>
      <c r="P1192" s="60">
        <f t="shared" si="143"/>
        <v>0</v>
      </c>
      <c r="Q1192" s="60">
        <f t="shared" si="143"/>
        <v>0</v>
      </c>
      <c r="R1192" s="60">
        <f t="shared" si="143"/>
        <v>243500</v>
      </c>
      <c r="S1192" s="60">
        <f t="shared" si="143"/>
        <v>250000</v>
      </c>
      <c r="T1192" s="60">
        <f t="shared" si="143"/>
        <v>96500</v>
      </c>
      <c r="U1192" s="60">
        <f t="shared" si="143"/>
        <v>5297925</v>
      </c>
      <c r="V1192" s="60">
        <f t="shared" si="143"/>
        <v>170000</v>
      </c>
      <c r="W1192" s="60">
        <f t="shared" si="143"/>
        <v>0</v>
      </c>
      <c r="X1192" s="60">
        <f t="shared" si="143"/>
        <v>322289.95</v>
      </c>
      <c r="Y1192" s="29">
        <f t="shared" si="142"/>
        <v>682585.05</v>
      </c>
    </row>
    <row r="1193" spans="1:25" ht="75">
      <c r="A1193" s="293"/>
      <c r="B1193" s="293"/>
      <c r="C1193" s="293"/>
      <c r="D1193" s="284"/>
      <c r="E1193" s="28" t="s">
        <v>729</v>
      </c>
      <c r="F1193" s="28"/>
      <c r="G1193" s="74"/>
      <c r="H1193" s="28"/>
      <c r="I1193" s="225">
        <v>3122</v>
      </c>
      <c r="J1193" s="54">
        <v>760000</v>
      </c>
      <c r="K1193" s="54"/>
      <c r="L1193" s="54"/>
      <c r="M1193" s="54"/>
      <c r="N1193" s="54"/>
      <c r="O1193" s="54"/>
      <c r="P1193" s="54"/>
      <c r="Q1193" s="54">
        <v>100000</v>
      </c>
      <c r="R1193" s="54">
        <v>243500</v>
      </c>
      <c r="S1193" s="54">
        <f>250000-100000</f>
        <v>150000</v>
      </c>
      <c r="T1193" s="54">
        <v>266500</v>
      </c>
      <c r="U1193" s="54"/>
      <c r="V1193" s="54"/>
      <c r="W1193" s="29">
        <f t="shared" si="134"/>
        <v>0</v>
      </c>
      <c r="X1193" s="54">
        <f>89885.51+229230.79</f>
        <v>319116.3</v>
      </c>
      <c r="Y1193" s="29">
        <f t="shared" si="142"/>
        <v>440883.7</v>
      </c>
    </row>
    <row r="1194" spans="1:25" ht="56.25">
      <c r="A1194" s="292"/>
      <c r="B1194" s="292"/>
      <c r="C1194" s="292"/>
      <c r="D1194" s="301"/>
      <c r="E1194" s="61" t="s">
        <v>9</v>
      </c>
      <c r="F1194" s="135">
        <f>J1194</f>
        <v>5712800</v>
      </c>
      <c r="G1194" s="134">
        <v>1</v>
      </c>
      <c r="H1194" s="135">
        <f t="shared" si="136"/>
        <v>5712800</v>
      </c>
      <c r="I1194" s="233">
        <v>3122</v>
      </c>
      <c r="J1194" s="54">
        <f>10000000-3424200-863000</f>
        <v>5712800</v>
      </c>
      <c r="K1194" s="29"/>
      <c r="L1194" s="29"/>
      <c r="M1194" s="29">
        <v>500000</v>
      </c>
      <c r="N1194" s="29">
        <f>1500000-1585125</f>
        <v>-85125</v>
      </c>
      <c r="O1194" s="29"/>
      <c r="P1194" s="29"/>
      <c r="Q1194" s="29">
        <v>-100000</v>
      </c>
      <c r="R1194" s="29"/>
      <c r="S1194" s="29">
        <v>100000</v>
      </c>
      <c r="T1194" s="29">
        <v>-170000</v>
      </c>
      <c r="U1194" s="29">
        <f>4000000+1585125-287200</f>
        <v>5297925</v>
      </c>
      <c r="V1194" s="29">
        <f>4000000-3424200-575800+170000</f>
        <v>170000</v>
      </c>
      <c r="W1194" s="29">
        <f t="shared" si="134"/>
        <v>0</v>
      </c>
      <c r="X1194" s="29">
        <f>3173.65</f>
        <v>3173.65</v>
      </c>
      <c r="Y1194" s="29">
        <f t="shared" si="142"/>
        <v>241701.35</v>
      </c>
    </row>
    <row r="1195" spans="1:25" ht="18" customHeight="1">
      <c r="A1195" s="294" t="s">
        <v>401</v>
      </c>
      <c r="B1195" s="6"/>
      <c r="C1195" s="307" t="s">
        <v>80</v>
      </c>
      <c r="D1195" s="283" t="s">
        <v>1130</v>
      </c>
      <c r="E1195" s="28"/>
      <c r="F1195" s="28"/>
      <c r="G1195" s="28"/>
      <c r="H1195" s="28"/>
      <c r="I1195" s="225"/>
      <c r="J1195" s="60">
        <f>J1197</f>
        <v>400000</v>
      </c>
      <c r="K1195" s="29"/>
      <c r="L1195" s="29"/>
      <c r="M1195" s="29"/>
      <c r="N1195" s="29"/>
      <c r="O1195" s="29"/>
      <c r="P1195" s="29"/>
      <c r="Q1195" s="29"/>
      <c r="R1195" s="29"/>
      <c r="S1195" s="29"/>
      <c r="T1195" s="29">
        <f>T1196</f>
        <v>400000</v>
      </c>
      <c r="U1195" s="29"/>
      <c r="V1195" s="29"/>
      <c r="W1195" s="29">
        <f aca="true" t="shared" si="144" ref="W1195:W1260">J1195-K1195-L1195-M1195-N1195-O1195-P1195-Q1195-R1195-S1195-T1195-U1195-V1195</f>
        <v>0</v>
      </c>
      <c r="X1195" s="29"/>
      <c r="Y1195" s="29">
        <f t="shared" si="142"/>
        <v>400000</v>
      </c>
    </row>
    <row r="1196" spans="1:25" ht="37.5" customHeight="1">
      <c r="A1196" s="295"/>
      <c r="B1196" s="278"/>
      <c r="C1196" s="313"/>
      <c r="D1196" s="284"/>
      <c r="E1196" s="30" t="s">
        <v>402</v>
      </c>
      <c r="F1196" s="28"/>
      <c r="G1196" s="28"/>
      <c r="H1196" s="28"/>
      <c r="I1196" s="225"/>
      <c r="J1196" s="60">
        <f>J1197</f>
        <v>400000</v>
      </c>
      <c r="K1196" s="29"/>
      <c r="L1196" s="29"/>
      <c r="M1196" s="29"/>
      <c r="N1196" s="29"/>
      <c r="O1196" s="29"/>
      <c r="P1196" s="29"/>
      <c r="Q1196" s="29"/>
      <c r="R1196" s="29"/>
      <c r="S1196" s="29"/>
      <c r="T1196" s="29">
        <f>T1197</f>
        <v>400000</v>
      </c>
      <c r="U1196" s="29"/>
      <c r="V1196" s="29"/>
      <c r="W1196" s="29">
        <f t="shared" si="144"/>
        <v>0</v>
      </c>
      <c r="X1196" s="29"/>
      <c r="Y1196" s="29"/>
    </row>
    <row r="1197" spans="1:25" ht="56.25">
      <c r="A1197" s="296"/>
      <c r="B1197" s="15"/>
      <c r="C1197" s="308"/>
      <c r="D1197" s="301"/>
      <c r="E1197" s="61" t="s">
        <v>403</v>
      </c>
      <c r="F1197" s="28"/>
      <c r="G1197" s="28"/>
      <c r="H1197" s="28"/>
      <c r="I1197" s="225">
        <v>3210</v>
      </c>
      <c r="J1197" s="54">
        <v>400000</v>
      </c>
      <c r="K1197" s="29"/>
      <c r="L1197" s="29"/>
      <c r="M1197" s="29"/>
      <c r="N1197" s="29"/>
      <c r="O1197" s="29"/>
      <c r="P1197" s="29"/>
      <c r="Q1197" s="29"/>
      <c r="R1197" s="29"/>
      <c r="S1197" s="29"/>
      <c r="T1197" s="29">
        <v>400000</v>
      </c>
      <c r="U1197" s="29"/>
      <c r="V1197" s="29"/>
      <c r="W1197" s="29">
        <f t="shared" si="144"/>
        <v>0</v>
      </c>
      <c r="X1197" s="29"/>
      <c r="Y1197" s="29">
        <f t="shared" si="142"/>
        <v>400000</v>
      </c>
    </row>
    <row r="1198" spans="1:25" ht="18.75">
      <c r="A1198" s="302" t="s">
        <v>124</v>
      </c>
      <c r="B1198" s="294" t="s">
        <v>306</v>
      </c>
      <c r="C1198" s="302" t="s">
        <v>81</v>
      </c>
      <c r="D1198" s="297" t="s">
        <v>82</v>
      </c>
      <c r="E1198" s="65"/>
      <c r="F1198" s="65"/>
      <c r="G1198" s="65"/>
      <c r="H1198" s="65"/>
      <c r="I1198" s="255"/>
      <c r="J1198" s="31">
        <f>J1199+J1200+J1207+J1210</f>
        <v>1403711.71</v>
      </c>
      <c r="K1198" s="31">
        <f aca="true" t="shared" si="145" ref="K1198:X1198">K1199+K1200+K1207+K1210</f>
        <v>0</v>
      </c>
      <c r="L1198" s="31">
        <f t="shared" si="145"/>
        <v>0</v>
      </c>
      <c r="M1198" s="31">
        <f t="shared" si="145"/>
        <v>402800</v>
      </c>
      <c r="N1198" s="31">
        <f t="shared" si="145"/>
        <v>407530</v>
      </c>
      <c r="O1198" s="31">
        <f t="shared" si="145"/>
        <v>101800</v>
      </c>
      <c r="P1198" s="31">
        <f t="shared" si="145"/>
        <v>35800</v>
      </c>
      <c r="Q1198" s="31">
        <f t="shared" si="145"/>
        <v>26800</v>
      </c>
      <c r="R1198" s="31">
        <f t="shared" si="145"/>
        <v>11600</v>
      </c>
      <c r="S1198" s="31">
        <f t="shared" si="145"/>
        <v>5800</v>
      </c>
      <c r="T1198" s="31">
        <f t="shared" si="145"/>
        <v>349981.71</v>
      </c>
      <c r="U1198" s="31">
        <f t="shared" si="145"/>
        <v>55800</v>
      </c>
      <c r="V1198" s="31">
        <f t="shared" si="145"/>
        <v>5800</v>
      </c>
      <c r="W1198" s="31">
        <f t="shared" si="145"/>
        <v>-9.094947017729282E-13</v>
      </c>
      <c r="X1198" s="31">
        <f t="shared" si="145"/>
        <v>580421.71</v>
      </c>
      <c r="Y1198" s="29">
        <f t="shared" si="142"/>
        <v>761690</v>
      </c>
    </row>
    <row r="1199" spans="1:25" ht="44.25" customHeight="1">
      <c r="A1199" s="302"/>
      <c r="B1199" s="295"/>
      <c r="C1199" s="302"/>
      <c r="D1199" s="297"/>
      <c r="E1199" s="28" t="s">
        <v>949</v>
      </c>
      <c r="F1199" s="135">
        <f>J1199</f>
        <v>44181.71</v>
      </c>
      <c r="G1199" s="134">
        <v>1</v>
      </c>
      <c r="H1199" s="135">
        <f>J1199</f>
        <v>44181.71</v>
      </c>
      <c r="I1199" s="233">
        <v>3132</v>
      </c>
      <c r="J1199" s="54">
        <f>50000-5818.29</f>
        <v>44181.71</v>
      </c>
      <c r="K1199" s="29"/>
      <c r="L1199" s="29"/>
      <c r="M1199" s="29">
        <v>50000</v>
      </c>
      <c r="N1199" s="29"/>
      <c r="O1199" s="29"/>
      <c r="P1199" s="29"/>
      <c r="Q1199" s="29"/>
      <c r="R1199" s="29"/>
      <c r="S1199" s="29"/>
      <c r="T1199" s="29">
        <f>-5818.29</f>
        <v>-5818.29</v>
      </c>
      <c r="U1199" s="29"/>
      <c r="V1199" s="29"/>
      <c r="W1199" s="29">
        <f t="shared" si="144"/>
        <v>-9.094947017729282E-13</v>
      </c>
      <c r="X1199" s="29">
        <f>43508.4+673.31</f>
        <v>44181.71</v>
      </c>
      <c r="Y1199" s="29">
        <f t="shared" si="142"/>
        <v>0</v>
      </c>
    </row>
    <row r="1200" spans="1:25" ht="64.5" customHeight="1">
      <c r="A1200" s="302"/>
      <c r="B1200" s="295"/>
      <c r="C1200" s="302"/>
      <c r="D1200" s="297"/>
      <c r="E1200" s="30" t="s">
        <v>421</v>
      </c>
      <c r="F1200" s="30"/>
      <c r="G1200" s="30"/>
      <c r="H1200" s="30"/>
      <c r="I1200" s="226"/>
      <c r="J1200" s="60">
        <f>SUM(J1201:J1206)</f>
        <v>934530</v>
      </c>
      <c r="K1200" s="60">
        <f aca="true" t="shared" si="146" ref="K1200:X1200">SUM(K1201:K1206)</f>
        <v>0</v>
      </c>
      <c r="L1200" s="60">
        <f t="shared" si="146"/>
        <v>0</v>
      </c>
      <c r="M1200" s="60">
        <f t="shared" si="146"/>
        <v>347000</v>
      </c>
      <c r="N1200" s="60">
        <f t="shared" si="146"/>
        <v>187530</v>
      </c>
      <c r="O1200" s="60">
        <f t="shared" si="146"/>
        <v>0</v>
      </c>
      <c r="P1200" s="60">
        <f t="shared" si="146"/>
        <v>0</v>
      </c>
      <c r="Q1200" s="60">
        <f t="shared" si="146"/>
        <v>0</v>
      </c>
      <c r="R1200" s="60">
        <f t="shared" si="146"/>
        <v>0</v>
      </c>
      <c r="S1200" s="60">
        <f t="shared" si="146"/>
        <v>0</v>
      </c>
      <c r="T1200" s="60">
        <f t="shared" si="146"/>
        <v>350000</v>
      </c>
      <c r="U1200" s="60">
        <f t="shared" si="146"/>
        <v>50000</v>
      </c>
      <c r="V1200" s="60">
        <f t="shared" si="146"/>
        <v>0</v>
      </c>
      <c r="W1200" s="60">
        <f t="shared" si="146"/>
        <v>0</v>
      </c>
      <c r="X1200" s="60">
        <f t="shared" si="146"/>
        <v>534530</v>
      </c>
      <c r="Y1200" s="29">
        <f t="shared" si="142"/>
        <v>350000</v>
      </c>
    </row>
    <row r="1201" spans="1:25" ht="56.25">
      <c r="A1201" s="302"/>
      <c r="B1201" s="295"/>
      <c r="C1201" s="302"/>
      <c r="D1201" s="297"/>
      <c r="E1201" s="28" t="s">
        <v>849</v>
      </c>
      <c r="F1201" s="28"/>
      <c r="G1201" s="28"/>
      <c r="H1201" s="28"/>
      <c r="I1201" s="225">
        <v>2281</v>
      </c>
      <c r="J1201" s="54">
        <v>187530</v>
      </c>
      <c r="K1201" s="29"/>
      <c r="L1201" s="178"/>
      <c r="M1201" s="178"/>
      <c r="N1201" s="179">
        <v>187530</v>
      </c>
      <c r="O1201" s="178"/>
      <c r="P1201" s="178"/>
      <c r="Q1201" s="178"/>
      <c r="R1201" s="178"/>
      <c r="S1201" s="178"/>
      <c r="T1201" s="178"/>
      <c r="U1201" s="178"/>
      <c r="V1201" s="178"/>
      <c r="W1201" s="29">
        <f t="shared" si="144"/>
        <v>0</v>
      </c>
      <c r="X1201" s="29">
        <v>187530</v>
      </c>
      <c r="Y1201" s="29">
        <f t="shared" si="142"/>
        <v>0</v>
      </c>
    </row>
    <row r="1202" spans="1:25" ht="54" hidden="1">
      <c r="A1202" s="302"/>
      <c r="B1202" s="295"/>
      <c r="C1202" s="302"/>
      <c r="D1202" s="297"/>
      <c r="E1202" s="28" t="s">
        <v>950</v>
      </c>
      <c r="F1202" s="28"/>
      <c r="G1202" s="28"/>
      <c r="H1202" s="28"/>
      <c r="I1202" s="225">
        <v>2281</v>
      </c>
      <c r="J1202" s="54">
        <f>190000-190000</f>
        <v>0</v>
      </c>
      <c r="K1202" s="29"/>
      <c r="L1202" s="146"/>
      <c r="M1202" s="146"/>
      <c r="N1202" s="146"/>
      <c r="O1202" s="146"/>
      <c r="P1202" s="179">
        <f>190000-190000</f>
        <v>0</v>
      </c>
      <c r="Q1202" s="146"/>
      <c r="R1202" s="146"/>
      <c r="S1202" s="146"/>
      <c r="T1202" s="146"/>
      <c r="U1202" s="146"/>
      <c r="V1202" s="146"/>
      <c r="W1202" s="29">
        <f t="shared" si="144"/>
        <v>0</v>
      </c>
      <c r="X1202" s="29"/>
      <c r="Y1202" s="29">
        <f t="shared" si="142"/>
        <v>0</v>
      </c>
    </row>
    <row r="1203" spans="1:25" ht="37.5">
      <c r="A1203" s="302"/>
      <c r="B1203" s="295"/>
      <c r="C1203" s="302"/>
      <c r="D1203" s="297"/>
      <c r="E1203" s="28" t="s">
        <v>532</v>
      </c>
      <c r="F1203" s="28"/>
      <c r="G1203" s="28"/>
      <c r="H1203" s="28"/>
      <c r="I1203" s="225">
        <v>2281</v>
      </c>
      <c r="J1203" s="54">
        <v>50000</v>
      </c>
      <c r="K1203" s="29"/>
      <c r="L1203" s="146"/>
      <c r="M1203" s="146"/>
      <c r="N1203" s="146"/>
      <c r="O1203" s="146"/>
      <c r="P1203" s="146"/>
      <c r="Q1203" s="146"/>
      <c r="R1203" s="146"/>
      <c r="S1203" s="146"/>
      <c r="T1203" s="146"/>
      <c r="U1203" s="179">
        <v>50000</v>
      </c>
      <c r="V1203" s="146"/>
      <c r="W1203" s="29">
        <f t="shared" si="144"/>
        <v>0</v>
      </c>
      <c r="X1203" s="29"/>
      <c r="Y1203" s="29">
        <f t="shared" si="142"/>
        <v>0</v>
      </c>
    </row>
    <row r="1204" spans="1:25" ht="93.75">
      <c r="A1204" s="302"/>
      <c r="B1204" s="295"/>
      <c r="C1204" s="302"/>
      <c r="D1204" s="297"/>
      <c r="E1204" s="28" t="s">
        <v>969</v>
      </c>
      <c r="F1204" s="28"/>
      <c r="G1204" s="28"/>
      <c r="H1204" s="28"/>
      <c r="I1204" s="225">
        <v>2281</v>
      </c>
      <c r="J1204" s="54">
        <v>229500</v>
      </c>
      <c r="K1204" s="29"/>
      <c r="L1204" s="146"/>
      <c r="M1204" s="179">
        <v>229500</v>
      </c>
      <c r="N1204" s="146"/>
      <c r="O1204" s="146"/>
      <c r="P1204" s="146"/>
      <c r="Q1204" s="146"/>
      <c r="R1204" s="146"/>
      <c r="S1204" s="146"/>
      <c r="T1204" s="146"/>
      <c r="U1204" s="146"/>
      <c r="V1204" s="146"/>
      <c r="W1204" s="29">
        <f t="shared" si="144"/>
        <v>0</v>
      </c>
      <c r="X1204" s="29">
        <f>137700+91800</f>
        <v>229500</v>
      </c>
      <c r="Y1204" s="29">
        <f t="shared" si="142"/>
        <v>0</v>
      </c>
    </row>
    <row r="1205" spans="1:25" ht="93.75">
      <c r="A1205" s="302"/>
      <c r="B1205" s="295"/>
      <c r="C1205" s="302"/>
      <c r="D1205" s="297"/>
      <c r="E1205" s="28" t="s">
        <v>970</v>
      </c>
      <c r="F1205" s="28"/>
      <c r="G1205" s="28"/>
      <c r="H1205" s="28"/>
      <c r="I1205" s="225">
        <v>2281</v>
      </c>
      <c r="J1205" s="54">
        <v>117500</v>
      </c>
      <c r="K1205" s="29"/>
      <c r="L1205" s="146"/>
      <c r="M1205" s="179">
        <v>117500</v>
      </c>
      <c r="N1205" s="146"/>
      <c r="O1205" s="146"/>
      <c r="P1205" s="146"/>
      <c r="Q1205" s="146"/>
      <c r="R1205" s="146"/>
      <c r="S1205" s="146"/>
      <c r="T1205" s="146"/>
      <c r="U1205" s="146"/>
      <c r="V1205" s="146"/>
      <c r="W1205" s="29">
        <f t="shared" si="144"/>
        <v>0</v>
      </c>
      <c r="X1205" s="29">
        <f>70500+47000</f>
        <v>117500</v>
      </c>
      <c r="Y1205" s="29">
        <f t="shared" si="142"/>
        <v>0</v>
      </c>
    </row>
    <row r="1206" spans="1:25" ht="93.75">
      <c r="A1206" s="302"/>
      <c r="B1206" s="295"/>
      <c r="C1206" s="302"/>
      <c r="D1206" s="297"/>
      <c r="E1206" s="28" t="s">
        <v>971</v>
      </c>
      <c r="F1206" s="28"/>
      <c r="G1206" s="28"/>
      <c r="H1206" s="28"/>
      <c r="I1206" s="225">
        <v>2281</v>
      </c>
      <c r="J1206" s="54">
        <v>350000</v>
      </c>
      <c r="K1206" s="29"/>
      <c r="L1206" s="146"/>
      <c r="M1206" s="146"/>
      <c r="N1206" s="146"/>
      <c r="O1206" s="146"/>
      <c r="P1206" s="146"/>
      <c r="Q1206" s="146"/>
      <c r="R1206" s="146"/>
      <c r="S1206" s="146"/>
      <c r="T1206" s="179">
        <v>350000</v>
      </c>
      <c r="U1206" s="146"/>
      <c r="V1206" s="146"/>
      <c r="W1206" s="29">
        <f t="shared" si="144"/>
        <v>0</v>
      </c>
      <c r="X1206" s="29"/>
      <c r="Y1206" s="29">
        <f t="shared" si="142"/>
        <v>350000</v>
      </c>
    </row>
    <row r="1207" spans="1:25" ht="75">
      <c r="A1207" s="302"/>
      <c r="B1207" s="295"/>
      <c r="C1207" s="302"/>
      <c r="D1207" s="297"/>
      <c r="E1207" s="30" t="s">
        <v>1198</v>
      </c>
      <c r="F1207" s="30"/>
      <c r="G1207" s="30"/>
      <c r="H1207" s="30"/>
      <c r="I1207" s="225"/>
      <c r="J1207" s="60">
        <f>SUM(J1208:J1209)</f>
        <v>58000</v>
      </c>
      <c r="K1207" s="60">
        <f aca="true" t="shared" si="147" ref="K1207:X1207">SUM(K1208:K1209)</f>
        <v>0</v>
      </c>
      <c r="L1207" s="60">
        <f t="shared" si="147"/>
        <v>0</v>
      </c>
      <c r="M1207" s="60">
        <f t="shared" si="147"/>
        <v>5800</v>
      </c>
      <c r="N1207" s="60">
        <f t="shared" si="147"/>
        <v>0</v>
      </c>
      <c r="O1207" s="60">
        <f t="shared" si="147"/>
        <v>5800</v>
      </c>
      <c r="P1207" s="60">
        <f t="shared" si="147"/>
        <v>5800</v>
      </c>
      <c r="Q1207" s="60">
        <f t="shared" si="147"/>
        <v>5800</v>
      </c>
      <c r="R1207" s="60">
        <f t="shared" si="147"/>
        <v>11600</v>
      </c>
      <c r="S1207" s="60">
        <f t="shared" si="147"/>
        <v>5800</v>
      </c>
      <c r="T1207" s="60">
        <f t="shared" si="147"/>
        <v>5800</v>
      </c>
      <c r="U1207" s="60">
        <f t="shared" si="147"/>
        <v>5800</v>
      </c>
      <c r="V1207" s="60">
        <f t="shared" si="147"/>
        <v>5800</v>
      </c>
      <c r="W1207" s="60">
        <f t="shared" si="147"/>
        <v>0</v>
      </c>
      <c r="X1207" s="60">
        <f t="shared" si="147"/>
        <v>1710</v>
      </c>
      <c r="Y1207" s="29">
        <f t="shared" si="142"/>
        <v>44690</v>
      </c>
    </row>
    <row r="1208" spans="1:25" ht="37.5">
      <c r="A1208" s="302"/>
      <c r="B1208" s="295"/>
      <c r="C1208" s="302"/>
      <c r="D1208" s="297"/>
      <c r="E1208" s="28" t="s">
        <v>394</v>
      </c>
      <c r="F1208" s="28"/>
      <c r="G1208" s="28"/>
      <c r="H1208" s="28"/>
      <c r="I1208" s="225">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4"/>
        <v>0</v>
      </c>
      <c r="X1208" s="29">
        <f>630+300+280+500</f>
        <v>1710</v>
      </c>
      <c r="Y1208" s="29">
        <f t="shared" si="142"/>
        <v>21490</v>
      </c>
    </row>
    <row r="1209" spans="1:25" ht="37.5">
      <c r="A1209" s="302"/>
      <c r="B1209" s="295"/>
      <c r="C1209" s="302"/>
      <c r="D1209" s="297"/>
      <c r="E1209" s="28" t="s">
        <v>860</v>
      </c>
      <c r="F1209" s="28"/>
      <c r="G1209" s="28"/>
      <c r="H1209" s="28"/>
      <c r="I1209" s="225">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4"/>
        <v>0</v>
      </c>
      <c r="X1209" s="29"/>
      <c r="Y1209" s="29">
        <f t="shared" si="142"/>
        <v>23200</v>
      </c>
    </row>
    <row r="1210" spans="1:25" ht="65.25" customHeight="1">
      <c r="A1210" s="302"/>
      <c r="B1210" s="295"/>
      <c r="C1210" s="302"/>
      <c r="D1210" s="297"/>
      <c r="E1210" s="30" t="s">
        <v>861</v>
      </c>
      <c r="F1210" s="30"/>
      <c r="G1210" s="30"/>
      <c r="H1210" s="30"/>
      <c r="I1210" s="226"/>
      <c r="J1210" s="60">
        <f>SUM(J1211:J1214)</f>
        <v>367000</v>
      </c>
      <c r="K1210" s="60">
        <f aca="true" t="shared" si="148" ref="K1210:X1210">SUM(K1211:K1214)</f>
        <v>0</v>
      </c>
      <c r="L1210" s="60">
        <f t="shared" si="148"/>
        <v>0</v>
      </c>
      <c r="M1210" s="60">
        <f t="shared" si="148"/>
        <v>0</v>
      </c>
      <c r="N1210" s="60">
        <f t="shared" si="148"/>
        <v>220000</v>
      </c>
      <c r="O1210" s="60">
        <f t="shared" si="148"/>
        <v>96000</v>
      </c>
      <c r="P1210" s="60">
        <f t="shared" si="148"/>
        <v>30000</v>
      </c>
      <c r="Q1210" s="60">
        <f t="shared" si="148"/>
        <v>21000</v>
      </c>
      <c r="R1210" s="60">
        <f t="shared" si="148"/>
        <v>0</v>
      </c>
      <c r="S1210" s="60">
        <f t="shared" si="148"/>
        <v>0</v>
      </c>
      <c r="T1210" s="60">
        <f t="shared" si="148"/>
        <v>0</v>
      </c>
      <c r="U1210" s="60">
        <f t="shared" si="148"/>
        <v>0</v>
      </c>
      <c r="V1210" s="60">
        <f t="shared" si="148"/>
        <v>0</v>
      </c>
      <c r="W1210" s="60">
        <f t="shared" si="148"/>
        <v>0</v>
      </c>
      <c r="X1210" s="60">
        <f t="shared" si="148"/>
        <v>0</v>
      </c>
      <c r="Y1210" s="29">
        <f t="shared" si="142"/>
        <v>367000</v>
      </c>
    </row>
    <row r="1211" spans="1:25" ht="56.25">
      <c r="A1211" s="302"/>
      <c r="B1211" s="295"/>
      <c r="C1211" s="302"/>
      <c r="D1211" s="297"/>
      <c r="E1211" s="28" t="s">
        <v>736</v>
      </c>
      <c r="F1211" s="28"/>
      <c r="G1211" s="28"/>
      <c r="H1211" s="28"/>
      <c r="I1211" s="225">
        <v>3110</v>
      </c>
      <c r="J1211" s="54">
        <v>30000</v>
      </c>
      <c r="K1211" s="29"/>
      <c r="L1211" s="29"/>
      <c r="M1211" s="29"/>
      <c r="N1211" s="29"/>
      <c r="O1211" s="29"/>
      <c r="P1211" s="29">
        <v>30000</v>
      </c>
      <c r="Q1211" s="29"/>
      <c r="R1211" s="29"/>
      <c r="S1211" s="29"/>
      <c r="T1211" s="29"/>
      <c r="U1211" s="29"/>
      <c r="V1211" s="29"/>
      <c r="W1211" s="29">
        <f t="shared" si="144"/>
        <v>0</v>
      </c>
      <c r="X1211" s="29"/>
      <c r="Y1211" s="29">
        <f t="shared" si="142"/>
        <v>30000</v>
      </c>
    </row>
    <row r="1212" spans="1:25" ht="93.75">
      <c r="A1212" s="302"/>
      <c r="B1212" s="295"/>
      <c r="C1212" s="302"/>
      <c r="D1212" s="297"/>
      <c r="E1212" s="28" t="s">
        <v>602</v>
      </c>
      <c r="F1212" s="28"/>
      <c r="G1212" s="28"/>
      <c r="H1212" s="28"/>
      <c r="I1212" s="225">
        <v>3110</v>
      </c>
      <c r="J1212" s="54">
        <v>196000</v>
      </c>
      <c r="K1212" s="29"/>
      <c r="L1212" s="29"/>
      <c r="M1212" s="29"/>
      <c r="N1212" s="29">
        <v>196000</v>
      </c>
      <c r="O1212" s="29"/>
      <c r="P1212" s="29"/>
      <c r="Q1212" s="29"/>
      <c r="R1212" s="29"/>
      <c r="S1212" s="29"/>
      <c r="T1212" s="29"/>
      <c r="U1212" s="29"/>
      <c r="V1212" s="29"/>
      <c r="W1212" s="29">
        <f t="shared" si="144"/>
        <v>0</v>
      </c>
      <c r="X1212" s="29"/>
      <c r="Y1212" s="29">
        <f t="shared" si="142"/>
        <v>196000</v>
      </c>
    </row>
    <row r="1213" spans="1:25" ht="131.25">
      <c r="A1213" s="302"/>
      <c r="B1213" s="295"/>
      <c r="C1213" s="302"/>
      <c r="D1213" s="297"/>
      <c r="E1213" s="28" t="s">
        <v>734</v>
      </c>
      <c r="F1213" s="28"/>
      <c r="G1213" s="28"/>
      <c r="H1213" s="28"/>
      <c r="I1213" s="225">
        <v>3110</v>
      </c>
      <c r="J1213" s="54">
        <v>96000</v>
      </c>
      <c r="K1213" s="29"/>
      <c r="L1213" s="29"/>
      <c r="M1213" s="29"/>
      <c r="N1213" s="29"/>
      <c r="O1213" s="29">
        <v>96000</v>
      </c>
      <c r="P1213" s="29"/>
      <c r="Q1213" s="29"/>
      <c r="R1213" s="29"/>
      <c r="S1213" s="29"/>
      <c r="T1213" s="29"/>
      <c r="U1213" s="29"/>
      <c r="V1213" s="29"/>
      <c r="W1213" s="29">
        <f t="shared" si="144"/>
        <v>0</v>
      </c>
      <c r="X1213" s="29"/>
      <c r="Y1213" s="29">
        <f t="shared" si="142"/>
        <v>96000</v>
      </c>
    </row>
    <row r="1214" spans="1:25" ht="75">
      <c r="A1214" s="302"/>
      <c r="B1214" s="296"/>
      <c r="C1214" s="302"/>
      <c r="D1214" s="297"/>
      <c r="E1214" s="28" t="s">
        <v>735</v>
      </c>
      <c r="F1214" s="28"/>
      <c r="G1214" s="28"/>
      <c r="H1214" s="28"/>
      <c r="I1214" s="225">
        <v>3110</v>
      </c>
      <c r="J1214" s="54">
        <v>45000</v>
      </c>
      <c r="K1214" s="29"/>
      <c r="L1214" s="29"/>
      <c r="M1214" s="29"/>
      <c r="N1214" s="29">
        <v>24000</v>
      </c>
      <c r="O1214" s="29"/>
      <c r="P1214" s="29"/>
      <c r="Q1214" s="29">
        <v>21000</v>
      </c>
      <c r="R1214" s="29"/>
      <c r="S1214" s="29"/>
      <c r="T1214" s="29"/>
      <c r="U1214" s="29"/>
      <c r="V1214" s="29"/>
      <c r="W1214" s="29">
        <f t="shared" si="144"/>
        <v>0</v>
      </c>
      <c r="X1214" s="29"/>
      <c r="Y1214" s="29">
        <f t="shared" si="142"/>
        <v>45000</v>
      </c>
    </row>
    <row r="1215" spans="1:25" ht="37.5">
      <c r="A1215" s="115">
        <v>7300000</v>
      </c>
      <c r="B1215" s="37"/>
      <c r="C1215" s="37"/>
      <c r="D1215" s="20" t="s">
        <v>67</v>
      </c>
      <c r="E1215" s="154"/>
      <c r="F1215" s="155"/>
      <c r="G1215" s="156"/>
      <c r="H1215" s="157"/>
      <c r="I1215" s="247"/>
      <c r="J1215" s="92">
        <f>J1216</f>
        <v>7811041.12</v>
      </c>
      <c r="K1215" s="92">
        <f aca="true" t="shared" si="149" ref="K1215:X1215">K1216</f>
        <v>0</v>
      </c>
      <c r="L1215" s="92">
        <f t="shared" si="149"/>
        <v>0</v>
      </c>
      <c r="M1215" s="92">
        <f t="shared" si="149"/>
        <v>2368000</v>
      </c>
      <c r="N1215" s="92">
        <f t="shared" si="149"/>
        <v>250000</v>
      </c>
      <c r="O1215" s="92">
        <f t="shared" si="149"/>
        <v>350000</v>
      </c>
      <c r="P1215" s="92">
        <f t="shared" si="149"/>
        <v>260000</v>
      </c>
      <c r="Q1215" s="92">
        <f t="shared" si="149"/>
        <v>1250000</v>
      </c>
      <c r="R1215" s="92">
        <f t="shared" si="149"/>
        <v>850000</v>
      </c>
      <c r="S1215" s="92">
        <f t="shared" si="149"/>
        <v>1000000</v>
      </c>
      <c r="T1215" s="92">
        <f t="shared" si="149"/>
        <v>-739858.8800000001</v>
      </c>
      <c r="U1215" s="92">
        <f t="shared" si="149"/>
        <v>927900</v>
      </c>
      <c r="V1215" s="92">
        <f t="shared" si="149"/>
        <v>1295000</v>
      </c>
      <c r="W1215" s="92">
        <f t="shared" si="149"/>
        <v>-4.774847184307873E-11</v>
      </c>
      <c r="X1215" s="92">
        <f t="shared" si="149"/>
        <v>3626778.4400000004</v>
      </c>
      <c r="Y1215" s="29">
        <f t="shared" si="142"/>
        <v>1961362.6799999997</v>
      </c>
    </row>
    <row r="1216" spans="1:25" ht="37.5">
      <c r="A1216" s="115">
        <v>7310000</v>
      </c>
      <c r="B1216" s="37"/>
      <c r="C1216" s="37"/>
      <c r="D1216" s="20" t="s">
        <v>67</v>
      </c>
      <c r="E1216" s="154"/>
      <c r="F1216" s="155"/>
      <c r="G1216" s="156"/>
      <c r="H1216" s="157"/>
      <c r="I1216" s="247"/>
      <c r="J1216" s="92">
        <f>J1217+J1222+J1224+J1234</f>
        <v>7811041.12</v>
      </c>
      <c r="K1216" s="92">
        <f aca="true" t="shared" si="150" ref="K1216:X1216">K1217+K1222+K1224+K1234</f>
        <v>0</v>
      </c>
      <c r="L1216" s="92">
        <f t="shared" si="150"/>
        <v>0</v>
      </c>
      <c r="M1216" s="92">
        <f t="shared" si="150"/>
        <v>2368000</v>
      </c>
      <c r="N1216" s="92">
        <f t="shared" si="150"/>
        <v>250000</v>
      </c>
      <c r="O1216" s="92">
        <f t="shared" si="150"/>
        <v>350000</v>
      </c>
      <c r="P1216" s="92">
        <f t="shared" si="150"/>
        <v>260000</v>
      </c>
      <c r="Q1216" s="92">
        <f t="shared" si="150"/>
        <v>1250000</v>
      </c>
      <c r="R1216" s="92">
        <f t="shared" si="150"/>
        <v>850000</v>
      </c>
      <c r="S1216" s="92">
        <f t="shared" si="150"/>
        <v>1000000</v>
      </c>
      <c r="T1216" s="92">
        <f t="shared" si="150"/>
        <v>-739858.8800000001</v>
      </c>
      <c r="U1216" s="92">
        <f t="shared" si="150"/>
        <v>927900</v>
      </c>
      <c r="V1216" s="92">
        <f t="shared" si="150"/>
        <v>1295000</v>
      </c>
      <c r="W1216" s="92">
        <f t="shared" si="150"/>
        <v>-4.774847184307873E-11</v>
      </c>
      <c r="X1216" s="92">
        <f t="shared" si="150"/>
        <v>3626778.4400000004</v>
      </c>
      <c r="Y1216" s="29">
        <f t="shared" si="142"/>
        <v>1961362.6799999997</v>
      </c>
    </row>
    <row r="1217" spans="1:25" ht="18.75">
      <c r="A1217" s="291" t="s">
        <v>278</v>
      </c>
      <c r="B1217" s="291" t="s">
        <v>80</v>
      </c>
      <c r="C1217" s="310" t="s">
        <v>79</v>
      </c>
      <c r="D1217" s="283" t="s">
        <v>72</v>
      </c>
      <c r="E1217" s="24"/>
      <c r="F1217" s="24"/>
      <c r="G1217" s="24"/>
      <c r="H1217" s="24"/>
      <c r="I1217" s="222"/>
      <c r="J1217" s="95">
        <f>SUM(J1218:J1221)</f>
        <v>381881.98</v>
      </c>
      <c r="K1217" s="95">
        <f aca="true" t="shared" si="151" ref="K1217:X1217">SUM(K1218:K1221)</f>
        <v>0</v>
      </c>
      <c r="L1217" s="95">
        <f t="shared" si="151"/>
        <v>0</v>
      </c>
      <c r="M1217" s="95">
        <f t="shared" si="151"/>
        <v>385000</v>
      </c>
      <c r="N1217" s="95">
        <f t="shared" si="151"/>
        <v>0</v>
      </c>
      <c r="O1217" s="95">
        <f t="shared" si="151"/>
        <v>0</v>
      </c>
      <c r="P1217" s="95">
        <f t="shared" si="151"/>
        <v>0</v>
      </c>
      <c r="Q1217" s="95">
        <f t="shared" si="151"/>
        <v>0</v>
      </c>
      <c r="R1217" s="95">
        <f t="shared" si="151"/>
        <v>0</v>
      </c>
      <c r="S1217" s="95">
        <f t="shared" si="151"/>
        <v>0</v>
      </c>
      <c r="T1217" s="95">
        <f t="shared" si="151"/>
        <v>-3118.02</v>
      </c>
      <c r="U1217" s="95">
        <f t="shared" si="151"/>
        <v>0</v>
      </c>
      <c r="V1217" s="95">
        <f t="shared" si="151"/>
        <v>0</v>
      </c>
      <c r="W1217" s="95">
        <f t="shared" si="151"/>
        <v>1.0459189070388675E-11</v>
      </c>
      <c r="X1217" s="95">
        <f t="shared" si="151"/>
        <v>336381.98</v>
      </c>
      <c r="Y1217" s="29">
        <f t="shared" si="142"/>
        <v>45500</v>
      </c>
    </row>
    <row r="1218" spans="1:25" ht="37.5">
      <c r="A1218" s="293"/>
      <c r="B1218" s="293"/>
      <c r="C1218" s="312"/>
      <c r="D1218" s="284"/>
      <c r="E1218" s="24" t="s">
        <v>38</v>
      </c>
      <c r="F1218" s="24"/>
      <c r="G1218" s="24"/>
      <c r="H1218" s="24"/>
      <c r="I1218" s="222">
        <v>3110</v>
      </c>
      <c r="J1218" s="93">
        <f>200000-1942.8</f>
        <v>198057.2</v>
      </c>
      <c r="K1218" s="29"/>
      <c r="L1218" s="29"/>
      <c r="M1218" s="29">
        <v>200000</v>
      </c>
      <c r="N1218" s="29"/>
      <c r="O1218" s="29"/>
      <c r="P1218" s="29"/>
      <c r="Q1218" s="29"/>
      <c r="R1218" s="29"/>
      <c r="S1218" s="29"/>
      <c r="T1218" s="29">
        <v>-1942.8</v>
      </c>
      <c r="U1218" s="29"/>
      <c r="V1218" s="29"/>
      <c r="W1218" s="29">
        <f t="shared" si="144"/>
        <v>1.1596057447604835E-11</v>
      </c>
      <c r="X1218" s="29">
        <v>198057.2</v>
      </c>
      <c r="Y1218" s="29">
        <f t="shared" si="142"/>
        <v>0</v>
      </c>
    </row>
    <row r="1219" spans="1:25" ht="37.5">
      <c r="A1219" s="293"/>
      <c r="B1219" s="293"/>
      <c r="C1219" s="312"/>
      <c r="D1219" s="284"/>
      <c r="E1219" s="24" t="s">
        <v>109</v>
      </c>
      <c r="F1219" s="24"/>
      <c r="G1219" s="24"/>
      <c r="H1219" s="24"/>
      <c r="I1219" s="222">
        <v>3110</v>
      </c>
      <c r="J1219" s="93">
        <v>65000</v>
      </c>
      <c r="K1219" s="29"/>
      <c r="L1219" s="29"/>
      <c r="M1219" s="29">
        <v>65000</v>
      </c>
      <c r="N1219" s="29"/>
      <c r="O1219" s="29"/>
      <c r="P1219" s="29"/>
      <c r="Q1219" s="29"/>
      <c r="R1219" s="29"/>
      <c r="S1219" s="29"/>
      <c r="T1219" s="29"/>
      <c r="U1219" s="29"/>
      <c r="V1219" s="29"/>
      <c r="W1219" s="29">
        <f t="shared" si="144"/>
        <v>0</v>
      </c>
      <c r="X1219" s="29">
        <f>19500</f>
        <v>19500</v>
      </c>
      <c r="Y1219" s="29">
        <f t="shared" si="142"/>
        <v>45500</v>
      </c>
    </row>
    <row r="1220" spans="1:25" ht="18.75">
      <c r="A1220" s="293"/>
      <c r="B1220" s="293"/>
      <c r="C1220" s="312"/>
      <c r="D1220" s="284"/>
      <c r="E1220" s="24" t="s">
        <v>29</v>
      </c>
      <c r="F1220" s="24"/>
      <c r="G1220" s="24"/>
      <c r="H1220" s="24"/>
      <c r="I1220" s="222">
        <v>3110</v>
      </c>
      <c r="J1220" s="93">
        <f>40000-100</f>
        <v>39900</v>
      </c>
      <c r="K1220" s="29"/>
      <c r="L1220" s="29"/>
      <c r="M1220" s="29">
        <v>40000</v>
      </c>
      <c r="N1220" s="29"/>
      <c r="O1220" s="29"/>
      <c r="P1220" s="29"/>
      <c r="Q1220" s="29"/>
      <c r="R1220" s="29"/>
      <c r="S1220" s="29"/>
      <c r="T1220" s="29">
        <v>-100</v>
      </c>
      <c r="U1220" s="29"/>
      <c r="V1220" s="29"/>
      <c r="W1220" s="29">
        <f t="shared" si="144"/>
        <v>0</v>
      </c>
      <c r="X1220" s="29">
        <v>39900</v>
      </c>
      <c r="Y1220" s="29">
        <f t="shared" si="142"/>
        <v>0</v>
      </c>
    </row>
    <row r="1221" spans="1:25" ht="56.25">
      <c r="A1221" s="293"/>
      <c r="B1221" s="292"/>
      <c r="C1221" s="312"/>
      <c r="D1221" s="284"/>
      <c r="E1221" s="24" t="s">
        <v>270</v>
      </c>
      <c r="F1221" s="24"/>
      <c r="G1221" s="24"/>
      <c r="H1221" s="24"/>
      <c r="I1221" s="222">
        <v>3110</v>
      </c>
      <c r="J1221" s="93">
        <f>80000-1075.22</f>
        <v>78924.78</v>
      </c>
      <c r="K1221" s="29"/>
      <c r="L1221" s="29"/>
      <c r="M1221" s="29">
        <v>80000</v>
      </c>
      <c r="N1221" s="29"/>
      <c r="O1221" s="29"/>
      <c r="P1221" s="29"/>
      <c r="Q1221" s="29"/>
      <c r="R1221" s="29"/>
      <c r="S1221" s="29"/>
      <c r="T1221" s="29">
        <v>-1075.22</v>
      </c>
      <c r="U1221" s="29"/>
      <c r="V1221" s="29"/>
      <c r="W1221" s="29">
        <f t="shared" si="144"/>
        <v>-1.1368683772161603E-12</v>
      </c>
      <c r="X1221" s="29">
        <v>78924.78</v>
      </c>
      <c r="Y1221" s="29">
        <f t="shared" si="142"/>
        <v>0</v>
      </c>
    </row>
    <row r="1222" spans="1:25" ht="18.75">
      <c r="A1222" s="291" t="s">
        <v>613</v>
      </c>
      <c r="B1222" s="291" t="s">
        <v>1148</v>
      </c>
      <c r="C1222" s="310" t="s">
        <v>222</v>
      </c>
      <c r="D1222" s="283" t="s">
        <v>903</v>
      </c>
      <c r="E1222" s="24"/>
      <c r="F1222" s="24"/>
      <c r="G1222" s="24"/>
      <c r="H1222" s="24"/>
      <c r="I1222" s="222"/>
      <c r="J1222" s="95">
        <f>J1223</f>
        <v>100132.94</v>
      </c>
      <c r="K1222" s="95">
        <f aca="true" t="shared" si="152" ref="K1222:X1222">K1223</f>
        <v>0</v>
      </c>
      <c r="L1222" s="95">
        <f t="shared" si="152"/>
        <v>0</v>
      </c>
      <c r="M1222" s="95">
        <f t="shared" si="152"/>
        <v>0</v>
      </c>
      <c r="N1222" s="95">
        <f t="shared" si="152"/>
        <v>0</v>
      </c>
      <c r="O1222" s="95">
        <f t="shared" si="152"/>
        <v>0</v>
      </c>
      <c r="P1222" s="95">
        <f t="shared" si="152"/>
        <v>60000</v>
      </c>
      <c r="Q1222" s="95">
        <f t="shared" si="152"/>
        <v>0</v>
      </c>
      <c r="R1222" s="95">
        <f t="shared" si="152"/>
        <v>90000</v>
      </c>
      <c r="S1222" s="95">
        <f t="shared" si="152"/>
        <v>170000</v>
      </c>
      <c r="T1222" s="95">
        <f t="shared" si="152"/>
        <v>-219867.06</v>
      </c>
      <c r="U1222" s="95">
        <f t="shared" si="152"/>
        <v>0</v>
      </c>
      <c r="V1222" s="95">
        <f t="shared" si="152"/>
        <v>0</v>
      </c>
      <c r="W1222" s="95">
        <f t="shared" si="152"/>
        <v>0</v>
      </c>
      <c r="X1222" s="95">
        <f t="shared" si="152"/>
        <v>100132.94</v>
      </c>
      <c r="Y1222" s="29">
        <f t="shared" si="142"/>
        <v>0</v>
      </c>
    </row>
    <row r="1223" spans="1:25" ht="84" customHeight="1">
      <c r="A1223" s="292"/>
      <c r="B1223" s="292"/>
      <c r="C1223" s="311"/>
      <c r="D1223" s="301"/>
      <c r="E1223" s="24" t="s">
        <v>271</v>
      </c>
      <c r="F1223" s="135">
        <f>J1223</f>
        <v>100132.94</v>
      </c>
      <c r="G1223" s="134">
        <v>1</v>
      </c>
      <c r="H1223" s="135">
        <f>J1223</f>
        <v>100132.94</v>
      </c>
      <c r="I1223" s="233">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4"/>
        <v>0</v>
      </c>
      <c r="X1223" s="29">
        <f>53290.69+46842.25</f>
        <v>100132.94</v>
      </c>
      <c r="Y1223" s="29">
        <f t="shared" si="142"/>
        <v>0</v>
      </c>
    </row>
    <row r="1224" spans="1:25" ht="18.75">
      <c r="A1224" s="294" t="s">
        <v>614</v>
      </c>
      <c r="B1224" s="294" t="s">
        <v>176</v>
      </c>
      <c r="C1224" s="291" t="s">
        <v>222</v>
      </c>
      <c r="D1224" s="283" t="s">
        <v>1130</v>
      </c>
      <c r="E1224" s="24"/>
      <c r="F1224" s="24"/>
      <c r="G1224" s="24"/>
      <c r="H1224" s="24"/>
      <c r="I1224" s="222"/>
      <c r="J1224" s="95">
        <f>J1225</f>
        <v>3803000</v>
      </c>
      <c r="K1224" s="95">
        <f aca="true" t="shared" si="153" ref="K1224:X1224">K1225</f>
        <v>0</v>
      </c>
      <c r="L1224" s="95">
        <f t="shared" si="153"/>
        <v>0</v>
      </c>
      <c r="M1224" s="95">
        <f t="shared" si="153"/>
        <v>790000</v>
      </c>
      <c r="N1224" s="95">
        <f t="shared" si="153"/>
        <v>0</v>
      </c>
      <c r="O1224" s="95">
        <f t="shared" si="153"/>
        <v>0</v>
      </c>
      <c r="P1224" s="95">
        <f t="shared" si="153"/>
        <v>0</v>
      </c>
      <c r="Q1224" s="95">
        <f t="shared" si="153"/>
        <v>920000</v>
      </c>
      <c r="R1224" s="95">
        <f t="shared" si="153"/>
        <v>500000</v>
      </c>
      <c r="S1224" s="95">
        <f t="shared" si="153"/>
        <v>830000</v>
      </c>
      <c r="T1224" s="95">
        <f t="shared" si="153"/>
        <v>-882000</v>
      </c>
      <c r="U1224" s="95">
        <f t="shared" si="153"/>
        <v>350000</v>
      </c>
      <c r="V1224" s="95">
        <f t="shared" si="153"/>
        <v>1295000</v>
      </c>
      <c r="W1224" s="95">
        <f t="shared" si="153"/>
        <v>0</v>
      </c>
      <c r="X1224" s="95">
        <f t="shared" si="153"/>
        <v>1418999</v>
      </c>
      <c r="Y1224" s="29">
        <f t="shared" si="142"/>
        <v>739001</v>
      </c>
    </row>
    <row r="1225" spans="1:25" ht="41.25" customHeight="1">
      <c r="A1225" s="295"/>
      <c r="B1225" s="295"/>
      <c r="C1225" s="293"/>
      <c r="D1225" s="284"/>
      <c r="E1225" s="30" t="s">
        <v>272</v>
      </c>
      <c r="F1225" s="30"/>
      <c r="G1225" s="30"/>
      <c r="H1225" s="30"/>
      <c r="I1225" s="226"/>
      <c r="J1225" s="31">
        <f>SUM(J1226:J1233)</f>
        <v>3803000</v>
      </c>
      <c r="K1225" s="31">
        <f aca="true" t="shared" si="154" ref="K1225:X1225">SUM(K1226:K1233)</f>
        <v>0</v>
      </c>
      <c r="L1225" s="31">
        <f t="shared" si="154"/>
        <v>0</v>
      </c>
      <c r="M1225" s="31">
        <f t="shared" si="154"/>
        <v>790000</v>
      </c>
      <c r="N1225" s="31">
        <f t="shared" si="154"/>
        <v>0</v>
      </c>
      <c r="O1225" s="31">
        <f t="shared" si="154"/>
        <v>0</v>
      </c>
      <c r="P1225" s="31">
        <f t="shared" si="154"/>
        <v>0</v>
      </c>
      <c r="Q1225" s="31">
        <f t="shared" si="154"/>
        <v>920000</v>
      </c>
      <c r="R1225" s="31">
        <f t="shared" si="154"/>
        <v>500000</v>
      </c>
      <c r="S1225" s="31">
        <f t="shared" si="154"/>
        <v>830000</v>
      </c>
      <c r="T1225" s="31">
        <f t="shared" si="154"/>
        <v>-882000</v>
      </c>
      <c r="U1225" s="31">
        <f t="shared" si="154"/>
        <v>350000</v>
      </c>
      <c r="V1225" s="31">
        <f t="shared" si="154"/>
        <v>1295000</v>
      </c>
      <c r="W1225" s="31">
        <f t="shared" si="154"/>
        <v>0</v>
      </c>
      <c r="X1225" s="31">
        <f t="shared" si="154"/>
        <v>1418999</v>
      </c>
      <c r="Y1225" s="29">
        <f aca="true" t="shared" si="155" ref="Y1225:Y1275">K1225+L1225+M1225+N1225+O1225+P1225+Q1225+R1225+S1225+T1225-X1225</f>
        <v>739001</v>
      </c>
    </row>
    <row r="1226" spans="1:25" ht="54" hidden="1">
      <c r="A1226" s="295"/>
      <c r="B1226" s="295"/>
      <c r="C1226" s="293"/>
      <c r="D1226" s="284"/>
      <c r="E1226" s="24" t="s">
        <v>731</v>
      </c>
      <c r="F1226" s="24"/>
      <c r="G1226" s="24"/>
      <c r="H1226" s="24"/>
      <c r="I1226" s="222">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4"/>
        <v>0</v>
      </c>
      <c r="X1226" s="29"/>
      <c r="Y1226" s="29">
        <f t="shared" si="155"/>
        <v>0</v>
      </c>
    </row>
    <row r="1227" spans="1:25" ht="37.5">
      <c r="A1227" s="295"/>
      <c r="B1227" s="295"/>
      <c r="C1227" s="293"/>
      <c r="D1227" s="284"/>
      <c r="E1227" s="24" t="s">
        <v>935</v>
      </c>
      <c r="F1227" s="24"/>
      <c r="G1227" s="24"/>
      <c r="H1227" s="24"/>
      <c r="I1227" s="222">
        <v>3210</v>
      </c>
      <c r="J1227" s="93">
        <v>140000</v>
      </c>
      <c r="K1227" s="29"/>
      <c r="L1227" s="29"/>
      <c r="M1227" s="29">
        <v>140000</v>
      </c>
      <c r="N1227" s="29"/>
      <c r="O1227" s="29"/>
      <c r="P1227" s="29"/>
      <c r="Q1227" s="29"/>
      <c r="R1227" s="29"/>
      <c r="S1227" s="29"/>
      <c r="T1227" s="29"/>
      <c r="U1227" s="29"/>
      <c r="V1227" s="29"/>
      <c r="W1227" s="29">
        <f t="shared" si="144"/>
        <v>0</v>
      </c>
      <c r="X1227" s="29"/>
      <c r="Y1227" s="29">
        <f t="shared" si="155"/>
        <v>140000</v>
      </c>
    </row>
    <row r="1228" spans="1:25" ht="18.75">
      <c r="A1228" s="295"/>
      <c r="B1228" s="295"/>
      <c r="C1228" s="293"/>
      <c r="D1228" s="284"/>
      <c r="E1228" s="24" t="s">
        <v>354</v>
      </c>
      <c r="F1228" s="24"/>
      <c r="G1228" s="24"/>
      <c r="H1228" s="24"/>
      <c r="I1228" s="222">
        <v>3210</v>
      </c>
      <c r="J1228" s="93">
        <f>150000-92000</f>
        <v>58000</v>
      </c>
      <c r="K1228" s="29"/>
      <c r="L1228" s="29"/>
      <c r="M1228" s="29">
        <v>150000</v>
      </c>
      <c r="N1228" s="29"/>
      <c r="O1228" s="29"/>
      <c r="P1228" s="29"/>
      <c r="Q1228" s="29"/>
      <c r="R1228" s="29"/>
      <c r="S1228" s="29"/>
      <c r="T1228" s="29">
        <v>-92000</v>
      </c>
      <c r="U1228" s="29"/>
      <c r="V1228" s="29"/>
      <c r="W1228" s="29">
        <f t="shared" si="144"/>
        <v>0</v>
      </c>
      <c r="X1228" s="29"/>
      <c r="Y1228" s="29">
        <f t="shared" si="155"/>
        <v>58000</v>
      </c>
    </row>
    <row r="1229" spans="1:25" ht="64.5" customHeight="1" hidden="1">
      <c r="A1229" s="295"/>
      <c r="B1229" s="295"/>
      <c r="C1229" s="293"/>
      <c r="D1229" s="284"/>
      <c r="E1229" s="24" t="s">
        <v>662</v>
      </c>
      <c r="F1229" s="24"/>
      <c r="G1229" s="24"/>
      <c r="H1229" s="24"/>
      <c r="I1229" s="222">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4"/>
        <v>0</v>
      </c>
      <c r="X1229" s="29"/>
      <c r="Y1229" s="29">
        <f t="shared" si="155"/>
        <v>0</v>
      </c>
    </row>
    <row r="1230" spans="1:25" ht="56.25">
      <c r="A1230" s="295"/>
      <c r="B1230" s="295"/>
      <c r="C1230" s="293"/>
      <c r="D1230" s="284"/>
      <c r="E1230" s="24" t="s">
        <v>1177</v>
      </c>
      <c r="F1230" s="24"/>
      <c r="G1230" s="24"/>
      <c r="H1230" s="24"/>
      <c r="I1230" s="222">
        <v>3210</v>
      </c>
      <c r="J1230" s="93">
        <f>750000+25000</f>
        <v>775000</v>
      </c>
      <c r="K1230" s="29"/>
      <c r="L1230" s="29"/>
      <c r="M1230" s="29">
        <v>400000</v>
      </c>
      <c r="N1230" s="29"/>
      <c r="O1230" s="29"/>
      <c r="P1230" s="29"/>
      <c r="Q1230" s="29"/>
      <c r="R1230" s="29">
        <v>25000</v>
      </c>
      <c r="S1230" s="29"/>
      <c r="T1230" s="29"/>
      <c r="U1230" s="29">
        <v>350000</v>
      </c>
      <c r="V1230" s="29"/>
      <c r="W1230" s="29">
        <f t="shared" si="144"/>
        <v>0</v>
      </c>
      <c r="X1230" s="29"/>
      <c r="Y1230" s="29">
        <f t="shared" si="155"/>
        <v>425000</v>
      </c>
    </row>
    <row r="1231" spans="1:25" ht="93.75">
      <c r="A1231" s="295"/>
      <c r="B1231" s="295"/>
      <c r="C1231" s="293"/>
      <c r="D1231" s="284"/>
      <c r="E1231" s="24" t="s">
        <v>1057</v>
      </c>
      <c r="F1231" s="24"/>
      <c r="G1231" s="24"/>
      <c r="H1231" s="24"/>
      <c r="I1231" s="222">
        <v>3210</v>
      </c>
      <c r="J1231" s="93">
        <v>1350000</v>
      </c>
      <c r="K1231" s="29"/>
      <c r="L1231" s="29"/>
      <c r="M1231" s="29"/>
      <c r="N1231" s="29"/>
      <c r="O1231" s="29"/>
      <c r="P1231" s="29"/>
      <c r="Q1231" s="29"/>
      <c r="R1231" s="29"/>
      <c r="S1231" s="29">
        <v>500000</v>
      </c>
      <c r="T1231" s="29"/>
      <c r="U1231" s="29"/>
      <c r="V1231" s="29">
        <v>850000</v>
      </c>
      <c r="W1231" s="29">
        <f t="shared" si="144"/>
        <v>0</v>
      </c>
      <c r="X1231" s="29">
        <f>199740+185137</f>
        <v>384877</v>
      </c>
      <c r="Y1231" s="29">
        <f t="shared" si="155"/>
        <v>115123</v>
      </c>
    </row>
    <row r="1232" spans="1:25" ht="93.75">
      <c r="A1232" s="295"/>
      <c r="B1232" s="295"/>
      <c r="C1232" s="293"/>
      <c r="D1232" s="284"/>
      <c r="E1232" s="24" t="s">
        <v>1058</v>
      </c>
      <c r="F1232" s="24"/>
      <c r="G1232" s="24"/>
      <c r="H1232" s="24"/>
      <c r="I1232" s="222">
        <v>3210</v>
      </c>
      <c r="J1232" s="93">
        <v>1480000</v>
      </c>
      <c r="K1232" s="29"/>
      <c r="L1232" s="29"/>
      <c r="M1232" s="29"/>
      <c r="N1232" s="29"/>
      <c r="O1232" s="29"/>
      <c r="P1232" s="29"/>
      <c r="Q1232" s="29"/>
      <c r="R1232" s="29">
        <v>1035000</v>
      </c>
      <c r="S1232" s="29"/>
      <c r="T1232" s="29"/>
      <c r="U1232" s="29"/>
      <c r="V1232" s="29">
        <v>445000</v>
      </c>
      <c r="W1232" s="29">
        <f t="shared" si="144"/>
        <v>0</v>
      </c>
      <c r="X1232" s="29">
        <f>536610.5+497511.5</f>
        <v>1034122</v>
      </c>
      <c r="Y1232" s="29">
        <f t="shared" si="155"/>
        <v>878</v>
      </c>
    </row>
    <row r="1233" spans="1:25" ht="18" hidden="1">
      <c r="A1233" s="296"/>
      <c r="B1233" s="296"/>
      <c r="C1233" s="292"/>
      <c r="D1233" s="301"/>
      <c r="E1233" s="24" t="s">
        <v>619</v>
      </c>
      <c r="F1233" s="24"/>
      <c r="G1233" s="24"/>
      <c r="H1233" s="24"/>
      <c r="I1233" s="222">
        <v>3210</v>
      </c>
      <c r="J1233" s="93">
        <f>100000-100000</f>
        <v>0</v>
      </c>
      <c r="K1233" s="29"/>
      <c r="L1233" s="29"/>
      <c r="M1233" s="29">
        <v>100000</v>
      </c>
      <c r="N1233" s="29"/>
      <c r="O1233" s="29"/>
      <c r="P1233" s="29"/>
      <c r="Q1233" s="29"/>
      <c r="R1233" s="29">
        <v>-100000</v>
      </c>
      <c r="S1233" s="29"/>
      <c r="T1233" s="29"/>
      <c r="U1233" s="29"/>
      <c r="V1233" s="29"/>
      <c r="W1233" s="29">
        <f t="shared" si="144"/>
        <v>0</v>
      </c>
      <c r="X1233" s="29"/>
      <c r="Y1233" s="29">
        <f t="shared" si="155"/>
        <v>0</v>
      </c>
    </row>
    <row r="1234" spans="1:25" ht="18.75">
      <c r="A1234" s="302" t="s">
        <v>125</v>
      </c>
      <c r="B1234" s="294" t="s">
        <v>306</v>
      </c>
      <c r="C1234" s="302" t="s">
        <v>81</v>
      </c>
      <c r="D1234" s="297" t="s">
        <v>82</v>
      </c>
      <c r="E1234" s="24"/>
      <c r="F1234" s="24"/>
      <c r="G1234" s="24"/>
      <c r="H1234" s="24"/>
      <c r="I1234" s="222"/>
      <c r="J1234" s="95">
        <f>SUM(J1235:J1249)</f>
        <v>3526026.2</v>
      </c>
      <c r="K1234" s="95">
        <f aca="true" t="shared" si="156" ref="K1234:X1234">SUM(K1235:K1249)</f>
        <v>0</v>
      </c>
      <c r="L1234" s="95">
        <f t="shared" si="156"/>
        <v>0</v>
      </c>
      <c r="M1234" s="95">
        <f t="shared" si="156"/>
        <v>1193000</v>
      </c>
      <c r="N1234" s="95">
        <f t="shared" si="156"/>
        <v>250000</v>
      </c>
      <c r="O1234" s="95">
        <f t="shared" si="156"/>
        <v>350000</v>
      </c>
      <c r="P1234" s="95">
        <f t="shared" si="156"/>
        <v>200000</v>
      </c>
      <c r="Q1234" s="95">
        <f t="shared" si="156"/>
        <v>330000</v>
      </c>
      <c r="R1234" s="95">
        <f t="shared" si="156"/>
        <v>260000</v>
      </c>
      <c r="S1234" s="95">
        <f t="shared" si="156"/>
        <v>0</v>
      </c>
      <c r="T1234" s="95">
        <f t="shared" si="156"/>
        <v>365126.2</v>
      </c>
      <c r="U1234" s="95">
        <f t="shared" si="156"/>
        <v>577900</v>
      </c>
      <c r="V1234" s="95">
        <f t="shared" si="156"/>
        <v>0</v>
      </c>
      <c r="W1234" s="95">
        <f t="shared" si="156"/>
        <v>-5.820766091346741E-11</v>
      </c>
      <c r="X1234" s="95">
        <f t="shared" si="156"/>
        <v>1771264.5200000003</v>
      </c>
      <c r="Y1234" s="29">
        <f t="shared" si="155"/>
        <v>1176861.68</v>
      </c>
    </row>
    <row r="1235" spans="1:25" ht="120.75" customHeight="1" hidden="1">
      <c r="A1235" s="302"/>
      <c r="B1235" s="295"/>
      <c r="C1235" s="302"/>
      <c r="D1235" s="297"/>
      <c r="E1235" s="24" t="s">
        <v>620</v>
      </c>
      <c r="F1235" s="135">
        <f>J1235</f>
        <v>0</v>
      </c>
      <c r="G1235" s="134">
        <v>1</v>
      </c>
      <c r="H1235" s="135">
        <f aca="true" t="shared" si="157" ref="H1235:H1249">J1235</f>
        <v>0</v>
      </c>
      <c r="I1235" s="233">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4"/>
        <v>0</v>
      </c>
      <c r="X1235" s="29"/>
      <c r="Y1235" s="29">
        <f t="shared" si="155"/>
        <v>0</v>
      </c>
    </row>
    <row r="1236" spans="1:25" ht="75">
      <c r="A1236" s="302"/>
      <c r="B1236" s="295"/>
      <c r="C1236" s="302"/>
      <c r="D1236" s="297"/>
      <c r="E1236" s="65" t="s">
        <v>617</v>
      </c>
      <c r="F1236" s="135">
        <f aca="true" t="shared" si="158" ref="F1236:F1249">J1236</f>
        <v>248083</v>
      </c>
      <c r="G1236" s="134">
        <v>1</v>
      </c>
      <c r="H1236" s="135">
        <f t="shared" si="157"/>
        <v>248083</v>
      </c>
      <c r="I1236" s="233">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4"/>
        <v>0</v>
      </c>
      <c r="X1236" s="29">
        <f>74424.9</f>
        <v>74424.9</v>
      </c>
      <c r="Y1236" s="29">
        <f t="shared" si="155"/>
        <v>173658.1</v>
      </c>
    </row>
    <row r="1237" spans="1:25" ht="75">
      <c r="A1237" s="302"/>
      <c r="B1237" s="295"/>
      <c r="C1237" s="302"/>
      <c r="D1237" s="297"/>
      <c r="E1237" s="24" t="s">
        <v>618</v>
      </c>
      <c r="F1237" s="135">
        <f t="shared" si="158"/>
        <v>540000</v>
      </c>
      <c r="G1237" s="134">
        <v>1</v>
      </c>
      <c r="H1237" s="135">
        <f t="shared" si="157"/>
        <v>540000</v>
      </c>
      <c r="I1237" s="233">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4"/>
        <v>0</v>
      </c>
      <c r="X1237" s="29">
        <f>3000+268500</f>
        <v>271500</v>
      </c>
      <c r="Y1237" s="29">
        <f t="shared" si="155"/>
        <v>268500</v>
      </c>
    </row>
    <row r="1238" spans="1:25" ht="36" hidden="1">
      <c r="A1238" s="302"/>
      <c r="B1238" s="295"/>
      <c r="C1238" s="302"/>
      <c r="D1238" s="297"/>
      <c r="E1238" s="24" t="s">
        <v>48</v>
      </c>
      <c r="F1238" s="135">
        <f t="shared" si="158"/>
        <v>0</v>
      </c>
      <c r="G1238" s="134">
        <v>1</v>
      </c>
      <c r="H1238" s="135">
        <f t="shared" si="157"/>
        <v>0</v>
      </c>
      <c r="I1238" s="233">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4"/>
        <v>0</v>
      </c>
      <c r="X1238" s="29"/>
      <c r="Y1238" s="29">
        <f t="shared" si="155"/>
        <v>0</v>
      </c>
    </row>
    <row r="1239" spans="1:25" ht="56.25">
      <c r="A1239" s="302"/>
      <c r="B1239" s="295"/>
      <c r="C1239" s="302"/>
      <c r="D1239" s="297"/>
      <c r="E1239" s="277" t="s">
        <v>808</v>
      </c>
      <c r="F1239" s="135">
        <f t="shared" si="158"/>
        <v>458109.6</v>
      </c>
      <c r="G1239" s="134">
        <v>1</v>
      </c>
      <c r="H1239" s="135">
        <f t="shared" si="157"/>
        <v>458109.6</v>
      </c>
      <c r="I1239" s="233">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4"/>
        <v>-2.9103830456733704E-11</v>
      </c>
      <c r="X1239" s="29">
        <f>1231.2+314304.48</f>
        <v>315535.68</v>
      </c>
      <c r="Y1239" s="29">
        <f t="shared" si="155"/>
        <v>142573.91999999998</v>
      </c>
    </row>
    <row r="1240" spans="1:25" ht="56.25">
      <c r="A1240" s="302"/>
      <c r="B1240" s="295"/>
      <c r="C1240" s="302"/>
      <c r="D1240" s="297"/>
      <c r="E1240" s="277" t="s">
        <v>19</v>
      </c>
      <c r="F1240" s="135">
        <f t="shared" si="158"/>
        <v>500000</v>
      </c>
      <c r="G1240" s="134">
        <v>1</v>
      </c>
      <c r="H1240" s="135">
        <f t="shared" si="157"/>
        <v>500000</v>
      </c>
      <c r="I1240" s="233">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4"/>
        <v>0</v>
      </c>
      <c r="X1240" s="29"/>
      <c r="Y1240" s="29">
        <f t="shared" si="155"/>
        <v>32100</v>
      </c>
    </row>
    <row r="1241" spans="1:25" ht="56.25">
      <c r="A1241" s="302"/>
      <c r="B1241" s="295"/>
      <c r="C1241" s="302"/>
      <c r="D1241" s="297"/>
      <c r="E1241" s="24" t="s">
        <v>20</v>
      </c>
      <c r="F1241" s="135">
        <f t="shared" si="158"/>
        <v>60000</v>
      </c>
      <c r="G1241" s="134">
        <v>1</v>
      </c>
      <c r="H1241" s="135">
        <f t="shared" si="157"/>
        <v>60000</v>
      </c>
      <c r="I1241" s="233">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4"/>
        <v>0</v>
      </c>
      <c r="X1241" s="29"/>
      <c r="Y1241" s="29">
        <f t="shared" si="155"/>
        <v>40000</v>
      </c>
    </row>
    <row r="1242" spans="1:25" ht="56.25">
      <c r="A1242" s="302"/>
      <c r="B1242" s="295"/>
      <c r="C1242" s="302"/>
      <c r="D1242" s="297"/>
      <c r="E1242" s="277" t="s">
        <v>189</v>
      </c>
      <c r="F1242" s="135">
        <f t="shared" si="158"/>
        <v>460833.6</v>
      </c>
      <c r="G1242" s="134">
        <v>1</v>
      </c>
      <c r="H1242" s="135">
        <f t="shared" si="157"/>
        <v>460833.6</v>
      </c>
      <c r="I1242" s="233">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4"/>
        <v>-2.9103830456733704E-11</v>
      </c>
      <c r="X1242" s="29">
        <f>1231.2+225767.4+233835</f>
        <v>460833.6</v>
      </c>
      <c r="Y1242" s="29">
        <f t="shared" si="155"/>
        <v>0</v>
      </c>
    </row>
    <row r="1243" spans="1:25" ht="56.25">
      <c r="A1243" s="302"/>
      <c r="B1243" s="295"/>
      <c r="C1243" s="302"/>
      <c r="D1243" s="297"/>
      <c r="E1243" s="24" t="s">
        <v>190</v>
      </c>
      <c r="F1243" s="135">
        <f t="shared" si="158"/>
        <v>400000</v>
      </c>
      <c r="G1243" s="134">
        <v>1</v>
      </c>
      <c r="H1243" s="135">
        <f t="shared" si="157"/>
        <v>400000</v>
      </c>
      <c r="I1243" s="233">
        <v>3132</v>
      </c>
      <c r="J1243" s="93">
        <f>500000-100000</f>
        <v>400000</v>
      </c>
      <c r="K1243" s="29"/>
      <c r="L1243" s="29"/>
      <c r="M1243" s="29"/>
      <c r="N1243" s="29"/>
      <c r="O1243" s="29"/>
      <c r="P1243" s="29">
        <v>260000</v>
      </c>
      <c r="Q1243" s="29">
        <v>100000</v>
      </c>
      <c r="R1243" s="29"/>
      <c r="S1243" s="29"/>
      <c r="T1243" s="29">
        <f>140000-100000</f>
        <v>40000</v>
      </c>
      <c r="U1243" s="29"/>
      <c r="V1243" s="29"/>
      <c r="W1243" s="29">
        <f t="shared" si="144"/>
        <v>0</v>
      </c>
      <c r="X1243" s="29"/>
      <c r="Y1243" s="29">
        <f t="shared" si="155"/>
        <v>400000</v>
      </c>
    </row>
    <row r="1244" spans="1:25" ht="60.75" customHeight="1">
      <c r="A1244" s="302"/>
      <c r="B1244" s="295"/>
      <c r="C1244" s="302"/>
      <c r="D1244" s="297"/>
      <c r="E1244" s="24" t="s">
        <v>454</v>
      </c>
      <c r="F1244" s="135">
        <f t="shared" si="158"/>
        <v>100000</v>
      </c>
      <c r="G1244" s="134">
        <v>1</v>
      </c>
      <c r="H1244" s="135">
        <f t="shared" si="157"/>
        <v>100000</v>
      </c>
      <c r="I1244" s="233">
        <v>3132</v>
      </c>
      <c r="J1244" s="93">
        <v>100000</v>
      </c>
      <c r="K1244" s="29"/>
      <c r="L1244" s="29"/>
      <c r="M1244" s="29"/>
      <c r="N1244" s="29"/>
      <c r="O1244" s="29"/>
      <c r="P1244" s="29">
        <v>50000</v>
      </c>
      <c r="Q1244" s="29">
        <v>50000</v>
      </c>
      <c r="R1244" s="29">
        <f>100000-50000-50000</f>
        <v>0</v>
      </c>
      <c r="S1244" s="29"/>
      <c r="T1244" s="29"/>
      <c r="U1244" s="29"/>
      <c r="V1244" s="29"/>
      <c r="W1244" s="29">
        <f t="shared" si="144"/>
        <v>0</v>
      </c>
      <c r="X1244" s="29">
        <f>49099.18+50900.81</f>
        <v>99999.98999999999</v>
      </c>
      <c r="Y1244" s="29">
        <f t="shared" si="155"/>
        <v>0.010000000009313226</v>
      </c>
    </row>
    <row r="1245" spans="1:25" ht="75">
      <c r="A1245" s="302"/>
      <c r="B1245" s="295"/>
      <c r="C1245" s="302"/>
      <c r="D1245" s="297"/>
      <c r="E1245" s="24" t="s">
        <v>1045</v>
      </c>
      <c r="F1245" s="135">
        <f t="shared" si="158"/>
        <v>400000</v>
      </c>
      <c r="G1245" s="134">
        <v>1</v>
      </c>
      <c r="H1245" s="135">
        <f t="shared" si="157"/>
        <v>400000</v>
      </c>
      <c r="I1245" s="233">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4"/>
        <v>0</v>
      </c>
      <c r="X1245" s="29">
        <f>2380.32+206550.4+61052.03</f>
        <v>269982.75</v>
      </c>
      <c r="Y1245" s="29">
        <f t="shared" si="155"/>
        <v>40017.25</v>
      </c>
    </row>
    <row r="1246" spans="1:25" ht="56.25">
      <c r="A1246" s="302"/>
      <c r="B1246" s="295"/>
      <c r="C1246" s="302"/>
      <c r="D1246" s="297"/>
      <c r="E1246" s="24" t="s">
        <v>605</v>
      </c>
      <c r="F1246" s="135">
        <f t="shared" si="158"/>
        <v>80000</v>
      </c>
      <c r="G1246" s="134">
        <v>1</v>
      </c>
      <c r="H1246" s="135">
        <f t="shared" si="157"/>
        <v>80000</v>
      </c>
      <c r="I1246" s="233">
        <v>3132</v>
      </c>
      <c r="J1246" s="93">
        <v>80000</v>
      </c>
      <c r="K1246" s="29"/>
      <c r="L1246" s="29"/>
      <c r="M1246" s="29">
        <v>80000</v>
      </c>
      <c r="N1246" s="29"/>
      <c r="O1246" s="29"/>
      <c r="P1246" s="29">
        <v>-40000</v>
      </c>
      <c r="Q1246" s="29"/>
      <c r="R1246" s="29">
        <v>40000</v>
      </c>
      <c r="S1246" s="29"/>
      <c r="T1246" s="29"/>
      <c r="U1246" s="29"/>
      <c r="V1246" s="29"/>
      <c r="W1246" s="29">
        <f t="shared" si="144"/>
        <v>0</v>
      </c>
      <c r="X1246" s="29"/>
      <c r="Y1246" s="29">
        <f t="shared" si="155"/>
        <v>80000</v>
      </c>
    </row>
    <row r="1247" spans="1:25" ht="56.25">
      <c r="A1247" s="302"/>
      <c r="B1247" s="295"/>
      <c r="C1247" s="302"/>
      <c r="D1247" s="297"/>
      <c r="E1247" s="24" t="s">
        <v>909</v>
      </c>
      <c r="F1247" s="135">
        <f t="shared" si="158"/>
        <v>79000</v>
      </c>
      <c r="G1247" s="134">
        <v>1</v>
      </c>
      <c r="H1247" s="135">
        <f t="shared" si="157"/>
        <v>79000</v>
      </c>
      <c r="I1247" s="233">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4"/>
        <v>0</v>
      </c>
      <c r="X1247" s="29">
        <f>38783.4+40204.2</f>
        <v>78987.6</v>
      </c>
      <c r="Y1247" s="29">
        <f t="shared" si="155"/>
        <v>12.39999999999418</v>
      </c>
    </row>
    <row r="1248" spans="1:25" ht="56.25">
      <c r="A1248" s="302"/>
      <c r="B1248" s="295"/>
      <c r="C1248" s="302"/>
      <c r="D1248" s="297"/>
      <c r="E1248" s="24" t="s">
        <v>910</v>
      </c>
      <c r="F1248" s="135">
        <f t="shared" si="158"/>
        <v>200000</v>
      </c>
      <c r="G1248" s="134">
        <v>1</v>
      </c>
      <c r="H1248" s="135">
        <f t="shared" si="157"/>
        <v>200000</v>
      </c>
      <c r="I1248" s="233">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4"/>
        <v>0</v>
      </c>
      <c r="X1248" s="29">
        <f>98207.96+101792.04</f>
        <v>200000</v>
      </c>
      <c r="Y1248" s="29">
        <f t="shared" si="155"/>
        <v>0</v>
      </c>
    </row>
    <row r="1249" spans="1:25" ht="80.25" customHeight="1" hidden="1">
      <c r="A1249" s="302"/>
      <c r="B1249" s="296"/>
      <c r="C1249" s="302"/>
      <c r="D1249" s="297"/>
      <c r="E1249" s="24" t="s">
        <v>435</v>
      </c>
      <c r="F1249" s="135">
        <f t="shared" si="158"/>
        <v>0</v>
      </c>
      <c r="G1249" s="134">
        <v>1</v>
      </c>
      <c r="H1249" s="135">
        <f t="shared" si="157"/>
        <v>0</v>
      </c>
      <c r="I1249" s="233">
        <v>3132</v>
      </c>
      <c r="J1249" s="93">
        <f>20000-20000</f>
        <v>0</v>
      </c>
      <c r="K1249" s="29"/>
      <c r="L1249" s="29"/>
      <c r="M1249" s="29">
        <v>20000</v>
      </c>
      <c r="N1249" s="29"/>
      <c r="O1249" s="29"/>
      <c r="P1249" s="29">
        <v>-20000</v>
      </c>
      <c r="Q1249" s="29"/>
      <c r="R1249" s="29">
        <v>20000</v>
      </c>
      <c r="S1249" s="29"/>
      <c r="T1249" s="29">
        <v>-20000</v>
      </c>
      <c r="U1249" s="29"/>
      <c r="V1249" s="29"/>
      <c r="W1249" s="29">
        <f t="shared" si="144"/>
        <v>0</v>
      </c>
      <c r="X1249" s="29"/>
      <c r="Y1249" s="29">
        <f t="shared" si="155"/>
        <v>0</v>
      </c>
    </row>
    <row r="1250" spans="1:25" ht="37.5">
      <c r="A1250" s="96" t="s">
        <v>220</v>
      </c>
      <c r="B1250" s="96"/>
      <c r="C1250" s="96"/>
      <c r="D1250" s="97" t="s">
        <v>101</v>
      </c>
      <c r="E1250" s="98"/>
      <c r="F1250" s="98"/>
      <c r="G1250" s="98"/>
      <c r="H1250" s="98"/>
      <c r="I1250" s="267"/>
      <c r="J1250" s="70">
        <f>J1251</f>
        <v>172400</v>
      </c>
      <c r="K1250" s="70">
        <f aca="true" t="shared" si="159" ref="K1250:X1251">K1251</f>
        <v>0</v>
      </c>
      <c r="L1250" s="70">
        <f t="shared" si="159"/>
        <v>0</v>
      </c>
      <c r="M1250" s="70">
        <f t="shared" si="159"/>
        <v>0</v>
      </c>
      <c r="N1250" s="70">
        <f t="shared" si="159"/>
        <v>0</v>
      </c>
      <c r="O1250" s="70">
        <f t="shared" si="159"/>
        <v>0</v>
      </c>
      <c r="P1250" s="70">
        <f t="shared" si="159"/>
        <v>180000</v>
      </c>
      <c r="Q1250" s="70">
        <f t="shared" si="159"/>
        <v>0</v>
      </c>
      <c r="R1250" s="70">
        <f t="shared" si="159"/>
        <v>0</v>
      </c>
      <c r="S1250" s="70">
        <f t="shared" si="159"/>
        <v>0</v>
      </c>
      <c r="T1250" s="70">
        <f t="shared" si="159"/>
        <v>-7600</v>
      </c>
      <c r="U1250" s="70">
        <f t="shared" si="159"/>
        <v>0</v>
      </c>
      <c r="V1250" s="70">
        <f t="shared" si="159"/>
        <v>0</v>
      </c>
      <c r="W1250" s="70">
        <f t="shared" si="159"/>
        <v>0</v>
      </c>
      <c r="X1250" s="70">
        <f t="shared" si="159"/>
        <v>152400</v>
      </c>
      <c r="Y1250" s="29">
        <f t="shared" si="155"/>
        <v>20000</v>
      </c>
    </row>
    <row r="1251" spans="1:25" ht="37.5">
      <c r="A1251" s="96" t="s">
        <v>221</v>
      </c>
      <c r="B1251" s="96"/>
      <c r="C1251" s="96"/>
      <c r="D1251" s="97" t="s">
        <v>101</v>
      </c>
      <c r="E1251" s="98"/>
      <c r="F1251" s="98"/>
      <c r="G1251" s="98"/>
      <c r="H1251" s="98"/>
      <c r="I1251" s="267"/>
      <c r="J1251" s="70">
        <f>J1252</f>
        <v>172400</v>
      </c>
      <c r="K1251" s="70">
        <f t="shared" si="159"/>
        <v>0</v>
      </c>
      <c r="L1251" s="70">
        <f t="shared" si="159"/>
        <v>0</v>
      </c>
      <c r="M1251" s="70">
        <f t="shared" si="159"/>
        <v>0</v>
      </c>
      <c r="N1251" s="70">
        <f t="shared" si="159"/>
        <v>0</v>
      </c>
      <c r="O1251" s="70">
        <f t="shared" si="159"/>
        <v>0</v>
      </c>
      <c r="P1251" s="70">
        <f t="shared" si="159"/>
        <v>180000</v>
      </c>
      <c r="Q1251" s="70">
        <f t="shared" si="159"/>
        <v>0</v>
      </c>
      <c r="R1251" s="70">
        <f t="shared" si="159"/>
        <v>0</v>
      </c>
      <c r="S1251" s="70">
        <f t="shared" si="159"/>
        <v>0</v>
      </c>
      <c r="T1251" s="70">
        <f t="shared" si="159"/>
        <v>-7600</v>
      </c>
      <c r="U1251" s="70">
        <f t="shared" si="159"/>
        <v>0</v>
      </c>
      <c r="V1251" s="70">
        <f t="shared" si="159"/>
        <v>0</v>
      </c>
      <c r="W1251" s="70">
        <f t="shared" si="159"/>
        <v>0</v>
      </c>
      <c r="X1251" s="70">
        <f t="shared" si="159"/>
        <v>152400</v>
      </c>
      <c r="Y1251" s="29">
        <f t="shared" si="155"/>
        <v>20000</v>
      </c>
    </row>
    <row r="1252" spans="1:25" ht="18.75">
      <c r="A1252" s="306" t="s">
        <v>279</v>
      </c>
      <c r="B1252" s="291" t="s">
        <v>80</v>
      </c>
      <c r="C1252" s="306" t="s">
        <v>79</v>
      </c>
      <c r="D1252" s="297" t="s">
        <v>72</v>
      </c>
      <c r="E1252" s="59"/>
      <c r="F1252" s="59"/>
      <c r="G1252" s="59"/>
      <c r="H1252" s="59"/>
      <c r="I1252" s="254"/>
      <c r="J1252" s="60">
        <f>SUM(J1253:J1253)</f>
        <v>172400</v>
      </c>
      <c r="K1252" s="60">
        <f aca="true" t="shared" si="160" ref="K1252:X1252">SUM(K1253:K1253)</f>
        <v>0</v>
      </c>
      <c r="L1252" s="60">
        <f t="shared" si="160"/>
        <v>0</v>
      </c>
      <c r="M1252" s="60">
        <f t="shared" si="160"/>
        <v>0</v>
      </c>
      <c r="N1252" s="60">
        <f t="shared" si="160"/>
        <v>0</v>
      </c>
      <c r="O1252" s="60">
        <f t="shared" si="160"/>
        <v>0</v>
      </c>
      <c r="P1252" s="60">
        <f t="shared" si="160"/>
        <v>180000</v>
      </c>
      <c r="Q1252" s="60">
        <f t="shared" si="160"/>
        <v>0</v>
      </c>
      <c r="R1252" s="60">
        <f t="shared" si="160"/>
        <v>0</v>
      </c>
      <c r="S1252" s="60">
        <f t="shared" si="160"/>
        <v>0</v>
      </c>
      <c r="T1252" s="60">
        <f t="shared" si="160"/>
        <v>-7600</v>
      </c>
      <c r="U1252" s="60">
        <f t="shared" si="160"/>
        <v>0</v>
      </c>
      <c r="V1252" s="60">
        <f t="shared" si="160"/>
        <v>0</v>
      </c>
      <c r="W1252" s="60">
        <f t="shared" si="160"/>
        <v>0</v>
      </c>
      <c r="X1252" s="60">
        <f t="shared" si="160"/>
        <v>152400</v>
      </c>
      <c r="Y1252" s="29">
        <f t="shared" si="155"/>
        <v>20000</v>
      </c>
    </row>
    <row r="1253" spans="1:25" ht="56.25">
      <c r="A1253" s="306"/>
      <c r="B1253" s="292"/>
      <c r="C1253" s="306"/>
      <c r="D1253" s="297"/>
      <c r="E1253" s="61" t="s">
        <v>304</v>
      </c>
      <c r="F1253" s="61"/>
      <c r="G1253" s="61"/>
      <c r="H1253" s="61"/>
      <c r="I1253" s="233">
        <v>3110</v>
      </c>
      <c r="J1253" s="54">
        <f>180000-7600</f>
        <v>172400</v>
      </c>
      <c r="K1253" s="29"/>
      <c r="L1253" s="29"/>
      <c r="M1253" s="29"/>
      <c r="N1253" s="29"/>
      <c r="O1253" s="29"/>
      <c r="P1253" s="29">
        <v>180000</v>
      </c>
      <c r="Q1253" s="29"/>
      <c r="R1253" s="29"/>
      <c r="S1253" s="29"/>
      <c r="T1253" s="29">
        <v>-7600</v>
      </c>
      <c r="U1253" s="29"/>
      <c r="V1253" s="29"/>
      <c r="W1253" s="29">
        <f t="shared" si="144"/>
        <v>0</v>
      </c>
      <c r="X1253" s="29">
        <f>11100+18000+123300</f>
        <v>152400</v>
      </c>
      <c r="Y1253" s="29">
        <f t="shared" si="155"/>
        <v>20000</v>
      </c>
    </row>
    <row r="1254" spans="1:25" ht="63" customHeight="1" hidden="1">
      <c r="A1254" s="302"/>
      <c r="B1254" s="302"/>
      <c r="C1254" s="302"/>
      <c r="D1254" s="297"/>
      <c r="E1254" s="30" t="s">
        <v>99</v>
      </c>
      <c r="F1254" s="93"/>
      <c r="G1254" s="158"/>
      <c r="H1254" s="159"/>
      <c r="I1254" s="248"/>
      <c r="J1254" s="31">
        <f>SUM(J1255:J1260)</f>
        <v>0</v>
      </c>
      <c r="K1254" s="29"/>
      <c r="L1254" s="29"/>
      <c r="M1254" s="29"/>
      <c r="N1254" s="29"/>
      <c r="O1254" s="29"/>
      <c r="P1254" s="29"/>
      <c r="Q1254" s="29"/>
      <c r="R1254" s="29"/>
      <c r="S1254" s="29"/>
      <c r="T1254" s="29"/>
      <c r="U1254" s="29"/>
      <c r="V1254" s="29"/>
      <c r="W1254" s="29">
        <f t="shared" si="144"/>
        <v>0</v>
      </c>
      <c r="X1254" s="29"/>
      <c r="Y1254" s="29">
        <f t="shared" si="155"/>
        <v>0</v>
      </c>
    </row>
    <row r="1255" spans="1:25" ht="18.75" customHeight="1" hidden="1">
      <c r="A1255" s="302"/>
      <c r="B1255" s="302"/>
      <c r="C1255" s="302"/>
      <c r="D1255" s="297"/>
      <c r="E1255" s="91"/>
      <c r="F1255" s="160"/>
      <c r="G1255" s="114"/>
      <c r="H1255" s="160"/>
      <c r="I1255" s="231"/>
      <c r="J1255" s="54"/>
      <c r="K1255" s="29"/>
      <c r="L1255" s="29"/>
      <c r="M1255" s="29"/>
      <c r="N1255" s="29"/>
      <c r="O1255" s="29"/>
      <c r="P1255" s="29"/>
      <c r="Q1255" s="29"/>
      <c r="R1255" s="29"/>
      <c r="S1255" s="29"/>
      <c r="T1255" s="29"/>
      <c r="U1255" s="29"/>
      <c r="V1255" s="29"/>
      <c r="W1255" s="29">
        <f t="shared" si="144"/>
        <v>0</v>
      </c>
      <c r="X1255" s="29"/>
      <c r="Y1255" s="29">
        <f t="shared" si="155"/>
        <v>0</v>
      </c>
    </row>
    <row r="1256" spans="1:25" ht="35.25" customHeight="1" hidden="1">
      <c r="A1256" s="302"/>
      <c r="B1256" s="302"/>
      <c r="C1256" s="302"/>
      <c r="D1256" s="297"/>
      <c r="E1256" s="91"/>
      <c r="F1256" s="160"/>
      <c r="G1256" s="114"/>
      <c r="H1256" s="160"/>
      <c r="I1256" s="231"/>
      <c r="J1256" s="54"/>
      <c r="K1256" s="29"/>
      <c r="L1256" s="29"/>
      <c r="M1256" s="29"/>
      <c r="N1256" s="29"/>
      <c r="O1256" s="29"/>
      <c r="P1256" s="29"/>
      <c r="Q1256" s="29"/>
      <c r="R1256" s="29"/>
      <c r="S1256" s="29"/>
      <c r="T1256" s="29"/>
      <c r="U1256" s="29"/>
      <c r="V1256" s="29"/>
      <c r="W1256" s="29">
        <f t="shared" si="144"/>
        <v>0</v>
      </c>
      <c r="X1256" s="29"/>
      <c r="Y1256" s="29">
        <f t="shared" si="155"/>
        <v>0</v>
      </c>
    </row>
    <row r="1257" spans="1:25" ht="35.25" customHeight="1" hidden="1">
      <c r="A1257" s="302"/>
      <c r="B1257" s="302"/>
      <c r="C1257" s="302"/>
      <c r="D1257" s="297"/>
      <c r="E1257" s="91"/>
      <c r="F1257" s="160"/>
      <c r="G1257" s="114"/>
      <c r="H1257" s="160"/>
      <c r="I1257" s="231"/>
      <c r="J1257" s="54"/>
      <c r="K1257" s="29"/>
      <c r="L1257" s="29"/>
      <c r="M1257" s="29"/>
      <c r="N1257" s="29"/>
      <c r="O1257" s="29"/>
      <c r="P1257" s="29"/>
      <c r="Q1257" s="29"/>
      <c r="R1257" s="29"/>
      <c r="S1257" s="29"/>
      <c r="T1257" s="29"/>
      <c r="U1257" s="29"/>
      <c r="V1257" s="29"/>
      <c r="W1257" s="29">
        <f t="shared" si="144"/>
        <v>0</v>
      </c>
      <c r="X1257" s="29"/>
      <c r="Y1257" s="29">
        <f t="shared" si="155"/>
        <v>0</v>
      </c>
    </row>
    <row r="1258" spans="1:25" ht="39.75" customHeight="1" hidden="1">
      <c r="A1258" s="302"/>
      <c r="B1258" s="302"/>
      <c r="C1258" s="302"/>
      <c r="D1258" s="297"/>
      <c r="E1258" s="91"/>
      <c r="F1258" s="160"/>
      <c r="G1258" s="114"/>
      <c r="H1258" s="160"/>
      <c r="I1258" s="231"/>
      <c r="J1258" s="54"/>
      <c r="K1258" s="29"/>
      <c r="L1258" s="29"/>
      <c r="M1258" s="29"/>
      <c r="N1258" s="29"/>
      <c r="O1258" s="29"/>
      <c r="P1258" s="29"/>
      <c r="Q1258" s="29"/>
      <c r="R1258" s="29"/>
      <c r="S1258" s="29"/>
      <c r="T1258" s="29"/>
      <c r="U1258" s="29"/>
      <c r="V1258" s="29"/>
      <c r="W1258" s="29">
        <f t="shared" si="144"/>
        <v>0</v>
      </c>
      <c r="X1258" s="29"/>
      <c r="Y1258" s="29">
        <f t="shared" si="155"/>
        <v>0</v>
      </c>
    </row>
    <row r="1259" spans="1:25" ht="18.75" customHeight="1" hidden="1">
      <c r="A1259" s="302"/>
      <c r="B1259" s="302"/>
      <c r="C1259" s="302"/>
      <c r="D1259" s="297"/>
      <c r="E1259" s="91"/>
      <c r="F1259" s="160"/>
      <c r="G1259" s="114"/>
      <c r="H1259" s="160"/>
      <c r="I1259" s="231"/>
      <c r="J1259" s="54"/>
      <c r="K1259" s="29"/>
      <c r="L1259" s="29"/>
      <c r="M1259" s="29"/>
      <c r="N1259" s="29"/>
      <c r="O1259" s="29"/>
      <c r="P1259" s="29"/>
      <c r="Q1259" s="29"/>
      <c r="R1259" s="29"/>
      <c r="S1259" s="29"/>
      <c r="T1259" s="29"/>
      <c r="U1259" s="29"/>
      <c r="V1259" s="29"/>
      <c r="W1259" s="29">
        <f t="shared" si="144"/>
        <v>0</v>
      </c>
      <c r="X1259" s="29"/>
      <c r="Y1259" s="29">
        <f t="shared" si="155"/>
        <v>0</v>
      </c>
    </row>
    <row r="1260" spans="1:25" ht="36" customHeight="1" hidden="1">
      <c r="A1260" s="302"/>
      <c r="B1260" s="302"/>
      <c r="C1260" s="302"/>
      <c r="D1260" s="297"/>
      <c r="E1260" s="91"/>
      <c r="F1260" s="160"/>
      <c r="G1260" s="114"/>
      <c r="H1260" s="160"/>
      <c r="I1260" s="231"/>
      <c r="J1260" s="54"/>
      <c r="K1260" s="29"/>
      <c r="L1260" s="29"/>
      <c r="M1260" s="29"/>
      <c r="N1260" s="29"/>
      <c r="O1260" s="29"/>
      <c r="P1260" s="29"/>
      <c r="Q1260" s="29"/>
      <c r="R1260" s="29"/>
      <c r="S1260" s="29"/>
      <c r="T1260" s="29"/>
      <c r="U1260" s="29"/>
      <c r="V1260" s="29"/>
      <c r="W1260" s="29">
        <f t="shared" si="144"/>
        <v>0</v>
      </c>
      <c r="X1260" s="29"/>
      <c r="Y1260" s="29">
        <f t="shared" si="155"/>
        <v>0</v>
      </c>
    </row>
    <row r="1261" spans="1:25" ht="63" customHeight="1" hidden="1">
      <c r="A1261" s="302"/>
      <c r="B1261" s="302"/>
      <c r="C1261" s="302"/>
      <c r="D1261" s="297"/>
      <c r="E1261" s="30" t="s">
        <v>100</v>
      </c>
      <c r="F1261" s="93"/>
      <c r="G1261" s="158"/>
      <c r="H1261" s="159"/>
      <c r="I1261" s="248"/>
      <c r="J1261" s="31">
        <v>0</v>
      </c>
      <c r="K1261" s="29"/>
      <c r="L1261" s="29"/>
      <c r="M1261" s="29"/>
      <c r="N1261" s="29"/>
      <c r="O1261" s="29"/>
      <c r="P1261" s="29"/>
      <c r="Q1261" s="29"/>
      <c r="R1261" s="29"/>
      <c r="S1261" s="29"/>
      <c r="T1261" s="29"/>
      <c r="U1261" s="29"/>
      <c r="V1261" s="29"/>
      <c r="W1261" s="29">
        <f aca="true" t="shared" si="161" ref="W1261:W1274">J1261-K1261-L1261-M1261-N1261-O1261-P1261-Q1261-R1261-S1261-T1261-U1261-V1261</f>
        <v>0</v>
      </c>
      <c r="X1261" s="29"/>
      <c r="Y1261" s="29">
        <f t="shared" si="155"/>
        <v>0</v>
      </c>
    </row>
    <row r="1262" spans="1:25" ht="34.5" hidden="1">
      <c r="A1262" s="96" t="s">
        <v>220</v>
      </c>
      <c r="B1262" s="96"/>
      <c r="C1262" s="96"/>
      <c r="D1262" s="161" t="s">
        <v>101</v>
      </c>
      <c r="E1262" s="98"/>
      <c r="F1262" s="155"/>
      <c r="G1262" s="156"/>
      <c r="H1262" s="157"/>
      <c r="I1262" s="247"/>
      <c r="J1262" s="70">
        <f>J1263+J1265</f>
        <v>0</v>
      </c>
      <c r="K1262" s="29"/>
      <c r="L1262" s="29"/>
      <c r="M1262" s="29"/>
      <c r="N1262" s="29"/>
      <c r="O1262" s="29"/>
      <c r="P1262" s="29"/>
      <c r="Q1262" s="29"/>
      <c r="R1262" s="29"/>
      <c r="S1262" s="29"/>
      <c r="T1262" s="29"/>
      <c r="U1262" s="29"/>
      <c r="V1262" s="29"/>
      <c r="W1262" s="29">
        <f t="shared" si="161"/>
        <v>0</v>
      </c>
      <c r="X1262" s="29"/>
      <c r="Y1262" s="29">
        <f t="shared" si="155"/>
        <v>0</v>
      </c>
    </row>
    <row r="1263" spans="1:25" ht="34.5" hidden="1">
      <c r="A1263" s="96" t="s">
        <v>221</v>
      </c>
      <c r="B1263" s="96"/>
      <c r="C1263" s="96"/>
      <c r="D1263" s="161" t="s">
        <v>101</v>
      </c>
      <c r="E1263" s="98"/>
      <c r="F1263" s="155"/>
      <c r="G1263" s="156"/>
      <c r="H1263" s="157"/>
      <c r="I1263" s="247"/>
      <c r="J1263" s="70">
        <f>J1264+J1266</f>
        <v>0</v>
      </c>
      <c r="K1263" s="29"/>
      <c r="L1263" s="29"/>
      <c r="M1263" s="29"/>
      <c r="N1263" s="29"/>
      <c r="O1263" s="29"/>
      <c r="P1263" s="29"/>
      <c r="Q1263" s="29"/>
      <c r="R1263" s="29"/>
      <c r="S1263" s="29"/>
      <c r="T1263" s="29"/>
      <c r="U1263" s="29"/>
      <c r="V1263" s="29"/>
      <c r="W1263" s="29">
        <f t="shared" si="161"/>
        <v>0</v>
      </c>
      <c r="X1263" s="29"/>
      <c r="Y1263" s="29">
        <f t="shared" si="155"/>
        <v>0</v>
      </c>
    </row>
    <row r="1264" spans="1:25" ht="18.75" customHeight="1" hidden="1">
      <c r="A1264" s="9"/>
      <c r="B1264" s="9"/>
      <c r="C1264" s="306" t="s">
        <v>79</v>
      </c>
      <c r="D1264" s="45"/>
      <c r="E1264" s="59"/>
      <c r="F1264" s="93"/>
      <c r="G1264" s="158"/>
      <c r="H1264" s="159"/>
      <c r="I1264" s="248"/>
      <c r="J1264" s="60">
        <f>SUM(J1265:J1265)</f>
        <v>0</v>
      </c>
      <c r="K1264" s="29"/>
      <c r="L1264" s="29"/>
      <c r="M1264" s="29"/>
      <c r="N1264" s="29"/>
      <c r="O1264" s="29"/>
      <c r="P1264" s="29"/>
      <c r="Q1264" s="29"/>
      <c r="R1264" s="29"/>
      <c r="S1264" s="29"/>
      <c r="T1264" s="29"/>
      <c r="U1264" s="29"/>
      <c r="V1264" s="29"/>
      <c r="W1264" s="29">
        <f t="shared" si="161"/>
        <v>0</v>
      </c>
      <c r="X1264" s="29"/>
      <c r="Y1264" s="29">
        <f t="shared" si="155"/>
        <v>0</v>
      </c>
    </row>
    <row r="1265" spans="1:25" ht="31.5" customHeight="1" hidden="1">
      <c r="A1265" s="9"/>
      <c r="B1265" s="9"/>
      <c r="C1265" s="306"/>
      <c r="D1265" s="45"/>
      <c r="E1265" s="61" t="s">
        <v>304</v>
      </c>
      <c r="F1265" s="93"/>
      <c r="G1265" s="158"/>
      <c r="H1265" s="159"/>
      <c r="I1265" s="248"/>
      <c r="J1265" s="54"/>
      <c r="K1265" s="29"/>
      <c r="L1265" s="29"/>
      <c r="M1265" s="29"/>
      <c r="N1265" s="29"/>
      <c r="O1265" s="29"/>
      <c r="P1265" s="29"/>
      <c r="Q1265" s="29"/>
      <c r="R1265" s="29"/>
      <c r="S1265" s="29"/>
      <c r="T1265" s="29"/>
      <c r="U1265" s="29"/>
      <c r="V1265" s="29"/>
      <c r="W1265" s="29">
        <f t="shared" si="161"/>
        <v>0</v>
      </c>
      <c r="X1265" s="29"/>
      <c r="Y1265" s="29">
        <f t="shared" si="155"/>
        <v>0</v>
      </c>
    </row>
    <row r="1266" spans="1:25" ht="18.75" customHeight="1" hidden="1">
      <c r="A1266" s="306" t="s">
        <v>305</v>
      </c>
      <c r="B1266" s="306" t="s">
        <v>306</v>
      </c>
      <c r="C1266" s="306" t="s">
        <v>81</v>
      </c>
      <c r="D1266" s="297" t="s">
        <v>82</v>
      </c>
      <c r="E1266" s="61"/>
      <c r="F1266" s="93"/>
      <c r="G1266" s="158"/>
      <c r="H1266" s="159"/>
      <c r="I1266" s="248"/>
      <c r="J1266" s="60">
        <f>J1267</f>
        <v>0</v>
      </c>
      <c r="K1266" s="29"/>
      <c r="L1266" s="29"/>
      <c r="M1266" s="29"/>
      <c r="N1266" s="29"/>
      <c r="O1266" s="29"/>
      <c r="P1266" s="29"/>
      <c r="Q1266" s="29"/>
      <c r="R1266" s="29"/>
      <c r="S1266" s="29"/>
      <c r="T1266" s="29"/>
      <c r="U1266" s="29"/>
      <c r="V1266" s="29"/>
      <c r="W1266" s="29">
        <f t="shared" si="161"/>
        <v>0</v>
      </c>
      <c r="X1266" s="29"/>
      <c r="Y1266" s="29">
        <f t="shared" si="155"/>
        <v>0</v>
      </c>
    </row>
    <row r="1267" spans="1:25" ht="47.25" customHeight="1" hidden="1">
      <c r="A1267" s="306"/>
      <c r="B1267" s="306"/>
      <c r="C1267" s="306"/>
      <c r="D1267" s="297"/>
      <c r="E1267" s="192" t="s">
        <v>96</v>
      </c>
      <c r="F1267" s="93"/>
      <c r="G1267" s="158"/>
      <c r="H1267" s="159"/>
      <c r="I1267" s="248"/>
      <c r="J1267" s="54"/>
      <c r="K1267" s="29"/>
      <c r="L1267" s="29"/>
      <c r="M1267" s="29"/>
      <c r="N1267" s="29"/>
      <c r="O1267" s="29"/>
      <c r="P1267" s="29"/>
      <c r="Q1267" s="29"/>
      <c r="R1267" s="29"/>
      <c r="S1267" s="29"/>
      <c r="T1267" s="29"/>
      <c r="U1267" s="29"/>
      <c r="V1267" s="29"/>
      <c r="W1267" s="29">
        <f t="shared" si="161"/>
        <v>0</v>
      </c>
      <c r="X1267" s="29"/>
      <c r="Y1267" s="29">
        <f t="shared" si="155"/>
        <v>0</v>
      </c>
    </row>
    <row r="1268" spans="1:25" ht="18" hidden="1">
      <c r="A1268" s="84"/>
      <c r="B1268" s="84"/>
      <c r="C1268" s="96"/>
      <c r="D1268" s="96"/>
      <c r="E1268" s="98"/>
      <c r="F1268" s="155"/>
      <c r="G1268" s="156"/>
      <c r="H1268" s="157"/>
      <c r="I1268" s="247"/>
      <c r="J1268" s="70">
        <f>J1269+J1271+J1273</f>
        <v>0</v>
      </c>
      <c r="K1268" s="29"/>
      <c r="L1268" s="29"/>
      <c r="M1268" s="29"/>
      <c r="N1268" s="29"/>
      <c r="O1268" s="29"/>
      <c r="P1268" s="29"/>
      <c r="Q1268" s="29"/>
      <c r="R1268" s="29"/>
      <c r="S1268" s="29"/>
      <c r="T1268" s="29"/>
      <c r="U1268" s="29"/>
      <c r="V1268" s="29"/>
      <c r="W1268" s="29">
        <f t="shared" si="161"/>
        <v>0</v>
      </c>
      <c r="X1268" s="29"/>
      <c r="Y1268" s="29">
        <f t="shared" si="155"/>
        <v>0</v>
      </c>
    </row>
    <row r="1269" spans="1:25" ht="18.75" customHeight="1" hidden="1">
      <c r="A1269" s="64"/>
      <c r="B1269" s="64"/>
      <c r="C1269" s="291" t="s">
        <v>80</v>
      </c>
      <c r="D1269" s="48"/>
      <c r="E1269" s="59"/>
      <c r="F1269" s="93"/>
      <c r="G1269" s="158"/>
      <c r="H1269" s="159"/>
      <c r="I1269" s="248"/>
      <c r="J1269" s="60">
        <f>SUM(J1270:J1270)</f>
        <v>0</v>
      </c>
      <c r="K1269" s="29"/>
      <c r="L1269" s="29"/>
      <c r="M1269" s="29"/>
      <c r="N1269" s="29"/>
      <c r="O1269" s="29"/>
      <c r="P1269" s="29"/>
      <c r="Q1269" s="29"/>
      <c r="R1269" s="29"/>
      <c r="S1269" s="29"/>
      <c r="T1269" s="29"/>
      <c r="U1269" s="29"/>
      <c r="V1269" s="29"/>
      <c r="W1269" s="29">
        <f t="shared" si="161"/>
        <v>0</v>
      </c>
      <c r="X1269" s="29"/>
      <c r="Y1269" s="29">
        <f t="shared" si="155"/>
        <v>0</v>
      </c>
    </row>
    <row r="1270" spans="1:25" ht="18.75" customHeight="1" hidden="1">
      <c r="A1270" s="123"/>
      <c r="B1270" s="123"/>
      <c r="C1270" s="293"/>
      <c r="D1270" s="49"/>
      <c r="E1270" s="61"/>
      <c r="F1270" s="93"/>
      <c r="G1270" s="158"/>
      <c r="H1270" s="159"/>
      <c r="I1270" s="248"/>
      <c r="J1270" s="54"/>
      <c r="K1270" s="29"/>
      <c r="L1270" s="29"/>
      <c r="M1270" s="29"/>
      <c r="N1270" s="29"/>
      <c r="O1270" s="29"/>
      <c r="P1270" s="29"/>
      <c r="Q1270" s="29"/>
      <c r="R1270" s="29"/>
      <c r="S1270" s="29"/>
      <c r="T1270" s="29"/>
      <c r="U1270" s="29"/>
      <c r="V1270" s="29"/>
      <c r="W1270" s="29">
        <f t="shared" si="161"/>
        <v>0</v>
      </c>
      <c r="X1270" s="29"/>
      <c r="Y1270" s="29">
        <f t="shared" si="155"/>
        <v>0</v>
      </c>
    </row>
    <row r="1271" spans="1:25" ht="18.75" customHeight="1" hidden="1">
      <c r="A1271" s="64"/>
      <c r="B1271" s="64"/>
      <c r="C1271" s="291" t="s">
        <v>80</v>
      </c>
      <c r="D1271" s="48"/>
      <c r="E1271" s="59"/>
      <c r="F1271" s="93"/>
      <c r="G1271" s="158"/>
      <c r="H1271" s="159"/>
      <c r="I1271" s="248"/>
      <c r="J1271" s="60">
        <f>J1272</f>
        <v>0</v>
      </c>
      <c r="K1271" s="29"/>
      <c r="L1271" s="29"/>
      <c r="M1271" s="29"/>
      <c r="N1271" s="29"/>
      <c r="O1271" s="29"/>
      <c r="P1271" s="29"/>
      <c r="Q1271" s="29"/>
      <c r="R1271" s="29"/>
      <c r="S1271" s="29"/>
      <c r="T1271" s="29"/>
      <c r="U1271" s="29"/>
      <c r="V1271" s="29"/>
      <c r="W1271" s="29">
        <f t="shared" si="161"/>
        <v>0</v>
      </c>
      <c r="X1271" s="29"/>
      <c r="Y1271" s="29">
        <f t="shared" si="155"/>
        <v>0</v>
      </c>
    </row>
    <row r="1272" spans="1:25" ht="63" customHeight="1" hidden="1">
      <c r="A1272" s="124"/>
      <c r="B1272" s="124"/>
      <c r="C1272" s="292"/>
      <c r="D1272" s="51"/>
      <c r="E1272" s="59" t="s">
        <v>436</v>
      </c>
      <c r="F1272" s="93"/>
      <c r="G1272" s="158"/>
      <c r="H1272" s="159"/>
      <c r="I1272" s="248"/>
      <c r="J1272" s="54"/>
      <c r="K1272" s="29"/>
      <c r="L1272" s="29"/>
      <c r="M1272" s="29"/>
      <c r="N1272" s="29"/>
      <c r="O1272" s="29"/>
      <c r="P1272" s="29"/>
      <c r="Q1272" s="29"/>
      <c r="R1272" s="29"/>
      <c r="S1272" s="29"/>
      <c r="T1272" s="29"/>
      <c r="U1272" s="29"/>
      <c r="V1272" s="29"/>
      <c r="W1272" s="29">
        <f t="shared" si="161"/>
        <v>0</v>
      </c>
      <c r="X1272" s="29"/>
      <c r="Y1272" s="29">
        <f t="shared" si="155"/>
        <v>0</v>
      </c>
    </row>
    <row r="1273" spans="1:25" ht="18.75" customHeight="1" hidden="1">
      <c r="A1273" s="64"/>
      <c r="B1273" s="64"/>
      <c r="C1273" s="291" t="s">
        <v>80</v>
      </c>
      <c r="D1273" s="48"/>
      <c r="E1273" s="59"/>
      <c r="F1273" s="93"/>
      <c r="G1273" s="158"/>
      <c r="H1273" s="159"/>
      <c r="I1273" s="248"/>
      <c r="J1273" s="60">
        <f>J1274</f>
        <v>0</v>
      </c>
      <c r="K1273" s="29"/>
      <c r="L1273" s="29"/>
      <c r="M1273" s="29"/>
      <c r="N1273" s="29"/>
      <c r="O1273" s="29"/>
      <c r="P1273" s="29"/>
      <c r="Q1273" s="29"/>
      <c r="R1273" s="29"/>
      <c r="S1273" s="29"/>
      <c r="T1273" s="29"/>
      <c r="U1273" s="29"/>
      <c r="V1273" s="29"/>
      <c r="W1273" s="29">
        <f t="shared" si="161"/>
        <v>0</v>
      </c>
      <c r="X1273" s="29"/>
      <c r="Y1273" s="29">
        <f t="shared" si="155"/>
        <v>0</v>
      </c>
    </row>
    <row r="1274" spans="1:25" ht="18.75" customHeight="1" hidden="1">
      <c r="A1274" s="123"/>
      <c r="B1274" s="123"/>
      <c r="C1274" s="293"/>
      <c r="D1274" s="49"/>
      <c r="E1274" s="61"/>
      <c r="F1274" s="93"/>
      <c r="G1274" s="158"/>
      <c r="H1274" s="159"/>
      <c r="I1274" s="248"/>
      <c r="J1274" s="54"/>
      <c r="K1274" s="29"/>
      <c r="L1274" s="29"/>
      <c r="M1274" s="29"/>
      <c r="N1274" s="29"/>
      <c r="O1274" s="29"/>
      <c r="P1274" s="29"/>
      <c r="Q1274" s="29"/>
      <c r="R1274" s="29"/>
      <c r="S1274" s="29"/>
      <c r="T1274" s="29"/>
      <c r="U1274" s="29"/>
      <c r="V1274" s="29"/>
      <c r="W1274" s="29">
        <f t="shared" si="161"/>
        <v>0</v>
      </c>
      <c r="X1274" s="29"/>
      <c r="Y1274" s="29">
        <f t="shared" si="155"/>
        <v>0</v>
      </c>
    </row>
    <row r="1275" spans="1:25" ht="18.75">
      <c r="A1275" s="298" t="s">
        <v>490</v>
      </c>
      <c r="B1275" s="299"/>
      <c r="C1275" s="299"/>
      <c r="D1275" s="299"/>
      <c r="E1275" s="300"/>
      <c r="F1275" s="35"/>
      <c r="G1275" s="162"/>
      <c r="H1275" s="163"/>
      <c r="I1275" s="249"/>
      <c r="J1275" s="35">
        <f aca="true" t="shared" si="162" ref="J1275:X1275">J5+J42+J48+J444+J485+J517+J521+J1105+J1215+J1250</f>
        <v>690187391.88</v>
      </c>
      <c r="K1275" s="35">
        <f t="shared" si="162"/>
        <v>1250000</v>
      </c>
      <c r="L1275" s="35">
        <f t="shared" si="162"/>
        <v>12280515</v>
      </c>
      <c r="M1275" s="35">
        <f t="shared" si="162"/>
        <v>88916091.66</v>
      </c>
      <c r="N1275" s="35">
        <f t="shared" si="162"/>
        <v>55651294.6</v>
      </c>
      <c r="O1275" s="35">
        <f t="shared" si="162"/>
        <v>27892416.3</v>
      </c>
      <c r="P1275" s="35">
        <f t="shared" si="162"/>
        <v>27607091.37</v>
      </c>
      <c r="Q1275" s="35">
        <f t="shared" si="162"/>
        <v>76483114.00999999</v>
      </c>
      <c r="R1275" s="35">
        <f t="shared" si="162"/>
        <v>84907121.3</v>
      </c>
      <c r="S1275" s="35">
        <f t="shared" si="162"/>
        <v>55460268.91</v>
      </c>
      <c r="T1275" s="35">
        <f t="shared" si="162"/>
        <v>70688286.77000001</v>
      </c>
      <c r="U1275" s="35">
        <f t="shared" si="162"/>
        <v>91681575.94</v>
      </c>
      <c r="V1275" s="35">
        <f t="shared" si="162"/>
        <v>97369616.02000001</v>
      </c>
      <c r="W1275" s="35">
        <f t="shared" si="162"/>
        <v>-7.190443795934698E-10</v>
      </c>
      <c r="X1275" s="35">
        <f t="shared" si="162"/>
        <v>370220742.64</v>
      </c>
      <c r="Y1275" s="29">
        <f t="shared" si="155"/>
        <v>130915457.27999997</v>
      </c>
    </row>
    <row r="1370" ht="18.75"/>
    <row r="1371" ht="18.75"/>
    <row r="1372" ht="18.75"/>
    <row r="1373" ht="18.75"/>
    <row r="1374" ht="18.75"/>
    <row r="1375" ht="18.75"/>
    <row r="1376" ht="18.75"/>
    <row r="1377" ht="18.75"/>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sheetData>
  <sheetProtection/>
  <mergeCells count="286">
    <mergeCell ref="A266:A268"/>
    <mergeCell ref="A261:A262"/>
    <mergeCell ref="A263:A265"/>
    <mergeCell ref="A275:A286"/>
    <mergeCell ref="B246:B251"/>
    <mergeCell ref="D439:D441"/>
    <mergeCell ref="D366:D367"/>
    <mergeCell ref="A366:A367"/>
    <mergeCell ref="D368:D422"/>
    <mergeCell ref="D433:D438"/>
    <mergeCell ref="B423:B432"/>
    <mergeCell ref="A256:A257"/>
    <mergeCell ref="A258:A260"/>
    <mergeCell ref="A287:A288"/>
    <mergeCell ref="D263:D265"/>
    <mergeCell ref="D272:D273"/>
    <mergeCell ref="D299:D302"/>
    <mergeCell ref="B275:B286"/>
    <mergeCell ref="C289:C298"/>
    <mergeCell ref="D287:D288"/>
    <mergeCell ref="B44:B47"/>
    <mergeCell ref="A252:A253"/>
    <mergeCell ref="A254:A255"/>
    <mergeCell ref="B133:B243"/>
    <mergeCell ref="A44:A47"/>
    <mergeCell ref="A244:A245"/>
    <mergeCell ref="A246:A251"/>
    <mergeCell ref="B244:B245"/>
    <mergeCell ref="B299:B300"/>
    <mergeCell ref="C287:C288"/>
    <mergeCell ref="C299:C302"/>
    <mergeCell ref="A269:A271"/>
    <mergeCell ref="A299:A302"/>
    <mergeCell ref="A272:A273"/>
    <mergeCell ref="A289:A298"/>
    <mergeCell ref="B289:B298"/>
    <mergeCell ref="C275:C286"/>
    <mergeCell ref="D303:D365"/>
    <mergeCell ref="D244:D245"/>
    <mergeCell ref="D246:D251"/>
    <mergeCell ref="C244:C245"/>
    <mergeCell ref="C261:C262"/>
    <mergeCell ref="C263:C265"/>
    <mergeCell ref="D289:D298"/>
    <mergeCell ref="D256:D257"/>
    <mergeCell ref="D258:D260"/>
    <mergeCell ref="C303:C365"/>
    <mergeCell ref="D483:D484"/>
    <mergeCell ref="C433:C438"/>
    <mergeCell ref="C446:C447"/>
    <mergeCell ref="D474:D476"/>
    <mergeCell ref="D448:D462"/>
    <mergeCell ref="D479:D482"/>
    <mergeCell ref="C474:C476"/>
    <mergeCell ref="C483:C484"/>
    <mergeCell ref="C479:C482"/>
    <mergeCell ref="D467:D473"/>
    <mergeCell ref="E1136:E1137"/>
    <mergeCell ref="I1136:I1137"/>
    <mergeCell ref="D1004:D1005"/>
    <mergeCell ref="D800:D1003"/>
    <mergeCell ref="D1107:D1113"/>
    <mergeCell ref="D1006:D1007"/>
    <mergeCell ref="D1128:D1131"/>
    <mergeCell ref="D1119:D1120"/>
    <mergeCell ref="D1114:D1118"/>
    <mergeCell ref="D1121:D1122"/>
    <mergeCell ref="D523:D587"/>
    <mergeCell ref="D519:D520"/>
    <mergeCell ref="D487:D494"/>
    <mergeCell ref="D498:D499"/>
    <mergeCell ref="D500:D515"/>
    <mergeCell ref="D588:D589"/>
    <mergeCell ref="D495:D497"/>
    <mergeCell ref="D667:D799"/>
    <mergeCell ref="D664:D666"/>
    <mergeCell ref="D590:D663"/>
    <mergeCell ref="A2:Y2"/>
    <mergeCell ref="A133:A243"/>
    <mergeCell ref="C133:C243"/>
    <mergeCell ref="D133:D243"/>
    <mergeCell ref="B50:B130"/>
    <mergeCell ref="C50:C130"/>
    <mergeCell ref="A50:A132"/>
    <mergeCell ref="C266:C268"/>
    <mergeCell ref="B272:B273"/>
    <mergeCell ref="D29:D30"/>
    <mergeCell ref="C269:C271"/>
    <mergeCell ref="D252:D253"/>
    <mergeCell ref="D254:D255"/>
    <mergeCell ref="C252:C253"/>
    <mergeCell ref="C256:C257"/>
    <mergeCell ref="D31:D34"/>
    <mergeCell ref="B263:B265"/>
    <mergeCell ref="A303:A365"/>
    <mergeCell ref="A423:A432"/>
    <mergeCell ref="B446:B447"/>
    <mergeCell ref="A433:A438"/>
    <mergeCell ref="A439:A441"/>
    <mergeCell ref="A368:A422"/>
    <mergeCell ref="B368:B422"/>
    <mergeCell ref="A463:A466"/>
    <mergeCell ref="B467:B473"/>
    <mergeCell ref="B448:B462"/>
    <mergeCell ref="B483:B484"/>
    <mergeCell ref="A467:A473"/>
    <mergeCell ref="A483:A484"/>
    <mergeCell ref="A474:A476"/>
    <mergeCell ref="B474:B476"/>
    <mergeCell ref="A479:A482"/>
    <mergeCell ref="B487:B494"/>
    <mergeCell ref="C487:C494"/>
    <mergeCell ref="C500:C515"/>
    <mergeCell ref="B523:B587"/>
    <mergeCell ref="B500:B515"/>
    <mergeCell ref="B519:B520"/>
    <mergeCell ref="C523:C587"/>
    <mergeCell ref="C498:C499"/>
    <mergeCell ref="C495:C497"/>
    <mergeCell ref="C1273:C1274"/>
    <mergeCell ref="C1264:C1265"/>
    <mergeCell ref="C1266:C1267"/>
    <mergeCell ref="C1271:C1272"/>
    <mergeCell ref="C1269:C1270"/>
    <mergeCell ref="C1006:C1007"/>
    <mergeCell ref="C1055:C1056"/>
    <mergeCell ref="C1057:C1061"/>
    <mergeCell ref="C1034:C1035"/>
    <mergeCell ref="C1154:C1155"/>
    <mergeCell ref="B800:B1003"/>
    <mergeCell ref="C588:C589"/>
    <mergeCell ref="B588:B589"/>
    <mergeCell ref="C519:C520"/>
    <mergeCell ref="C590:C663"/>
    <mergeCell ref="C800:C1003"/>
    <mergeCell ref="B590:B663"/>
    <mergeCell ref="B664:B666"/>
    <mergeCell ref="B667:B799"/>
    <mergeCell ref="C667:C799"/>
    <mergeCell ref="D1195:D1197"/>
    <mergeCell ref="C1062:C1065"/>
    <mergeCell ref="C1077:C1082"/>
    <mergeCell ref="D1234:D1249"/>
    <mergeCell ref="C1234:C1249"/>
    <mergeCell ref="C1195:C1197"/>
    <mergeCell ref="D1123:D1127"/>
    <mergeCell ref="D1132:D1150"/>
    <mergeCell ref="D1151:D1153"/>
    <mergeCell ref="C1156:C1191"/>
    <mergeCell ref="C1042:C1047"/>
    <mergeCell ref="C1053:C1054"/>
    <mergeCell ref="C1037:C1041"/>
    <mergeCell ref="C1128:C1131"/>
    <mergeCell ref="C1132:C1150"/>
    <mergeCell ref="C1075:C1076"/>
    <mergeCell ref="C1048:C1052"/>
    <mergeCell ref="C1066:C1071"/>
    <mergeCell ref="C1072:C1074"/>
    <mergeCell ref="C1107:C1113"/>
    <mergeCell ref="A1128:A1131"/>
    <mergeCell ref="A1123:A1127"/>
    <mergeCell ref="A1121:A1122"/>
    <mergeCell ref="A1114:A1118"/>
    <mergeCell ref="C1123:C1127"/>
    <mergeCell ref="A1151:A1153"/>
    <mergeCell ref="B1151:B1153"/>
    <mergeCell ref="C1119:C1120"/>
    <mergeCell ref="C1114:C1118"/>
    <mergeCell ref="B1234:B1249"/>
    <mergeCell ref="B1217:B1221"/>
    <mergeCell ref="A1224:A1233"/>
    <mergeCell ref="B1222:B1223"/>
    <mergeCell ref="A1222:A1223"/>
    <mergeCell ref="A1217:A1221"/>
    <mergeCell ref="B1224:B1233"/>
    <mergeCell ref="A1266:A1267"/>
    <mergeCell ref="B1254:B1261"/>
    <mergeCell ref="A1254:A1261"/>
    <mergeCell ref="B1252:B1253"/>
    <mergeCell ref="B1266:B1267"/>
    <mergeCell ref="D1266:D1267"/>
    <mergeCell ref="A1252:A1253"/>
    <mergeCell ref="D1252:D1253"/>
    <mergeCell ref="D1217:D1221"/>
    <mergeCell ref="C1222:C1223"/>
    <mergeCell ref="D1222:D1223"/>
    <mergeCell ref="C1217:C1221"/>
    <mergeCell ref="D1254:D1261"/>
    <mergeCell ref="C1224:C1233"/>
    <mergeCell ref="C1254:C1261"/>
    <mergeCell ref="C1252:C1253"/>
    <mergeCell ref="D1224:D1233"/>
    <mergeCell ref="D1154:D1155"/>
    <mergeCell ref="B1114:B1118"/>
    <mergeCell ref="D1156:D1191"/>
    <mergeCell ref="C1151:C1153"/>
    <mergeCell ref="A1198:A1214"/>
    <mergeCell ref="B1198:B1214"/>
    <mergeCell ref="C1198:C1214"/>
    <mergeCell ref="A1192:A1194"/>
    <mergeCell ref="A1195:A1197"/>
    <mergeCell ref="D1198:D1214"/>
    <mergeCell ref="C1030:C1032"/>
    <mergeCell ref="A667:A799"/>
    <mergeCell ref="A800:A1003"/>
    <mergeCell ref="B1006:B1007"/>
    <mergeCell ref="B1004:B1005"/>
    <mergeCell ref="B1192:B1194"/>
    <mergeCell ref="C1121:C1122"/>
    <mergeCell ref="C1084:C1104"/>
    <mergeCell ref="B1107:B1113"/>
    <mergeCell ref="B1156:B1191"/>
    <mergeCell ref="A500:A515"/>
    <mergeCell ref="A590:A663"/>
    <mergeCell ref="A1119:A1120"/>
    <mergeCell ref="A1107:A1113"/>
    <mergeCell ref="A1006:A1007"/>
    <mergeCell ref="A1004:A1005"/>
    <mergeCell ref="A664:A666"/>
    <mergeCell ref="A519:A520"/>
    <mergeCell ref="A523:A587"/>
    <mergeCell ref="A588:A589"/>
    <mergeCell ref="C1013:C1018"/>
    <mergeCell ref="C1028:C1029"/>
    <mergeCell ref="C1019:C1024"/>
    <mergeCell ref="C1025:C1027"/>
    <mergeCell ref="C1004:C1005"/>
    <mergeCell ref="C664:C666"/>
    <mergeCell ref="C1008:C1012"/>
    <mergeCell ref="A31:A34"/>
    <mergeCell ref="B7:B28"/>
    <mergeCell ref="A498:A499"/>
    <mergeCell ref="B495:B497"/>
    <mergeCell ref="B498:B499"/>
    <mergeCell ref="A487:A494"/>
    <mergeCell ref="B479:B482"/>
    <mergeCell ref="A495:A497"/>
    <mergeCell ref="A477:A478"/>
    <mergeCell ref="B463:B466"/>
    <mergeCell ref="D261:D262"/>
    <mergeCell ref="C258:C260"/>
    <mergeCell ref="C31:C34"/>
    <mergeCell ref="D44:D47"/>
    <mergeCell ref="D266:D268"/>
    <mergeCell ref="C7:C28"/>
    <mergeCell ref="C246:C251"/>
    <mergeCell ref="D50:D132"/>
    <mergeCell ref="C44:C47"/>
    <mergeCell ref="A29:A30"/>
    <mergeCell ref="A7:A28"/>
    <mergeCell ref="A448:A462"/>
    <mergeCell ref="C38:C41"/>
    <mergeCell ref="C254:C255"/>
    <mergeCell ref="C272:C273"/>
    <mergeCell ref="C423:C432"/>
    <mergeCell ref="A38:A41"/>
    <mergeCell ref="B38:B41"/>
    <mergeCell ref="C1192:C1194"/>
    <mergeCell ref="D7:D28"/>
    <mergeCell ref="D1192:D1194"/>
    <mergeCell ref="C463:C466"/>
    <mergeCell ref="A1132:A1150"/>
    <mergeCell ref="A1154:A1155"/>
    <mergeCell ref="A1234:A1249"/>
    <mergeCell ref="A1156:A1191"/>
    <mergeCell ref="B1132:B1150"/>
    <mergeCell ref="B1154:B1155"/>
    <mergeCell ref="A1275:E1275"/>
    <mergeCell ref="B31:B34"/>
    <mergeCell ref="D35:D37"/>
    <mergeCell ref="D446:D447"/>
    <mergeCell ref="D477:D478"/>
    <mergeCell ref="C368:C422"/>
    <mergeCell ref="D423:D432"/>
    <mergeCell ref="C448:C462"/>
    <mergeCell ref="C467:C473"/>
    <mergeCell ref="D463:D466"/>
    <mergeCell ref="C35:C37"/>
    <mergeCell ref="D38:D41"/>
    <mergeCell ref="B35:B37"/>
    <mergeCell ref="A35:A37"/>
    <mergeCell ref="A446:A447"/>
    <mergeCell ref="B433:B438"/>
    <mergeCell ref="B303:B365"/>
    <mergeCell ref="D269:D271"/>
    <mergeCell ref="D275:D286"/>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2017-10-30T14:57:29Z</dcterms:modified>
  <cp:category/>
  <cp:version/>
  <cp:contentType/>
  <cp:contentStatus/>
</cp:coreProperties>
</file>